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орма №2" sheetId="1" r:id="rId1"/>
    <sheet name="Доход-2022" sheetId="2" r:id="rId2"/>
    <sheet name="Зарплата-2022" sheetId="3" r:id="rId3"/>
    <sheet name="141 спец" sheetId="5" r:id="rId4"/>
    <sheet name="спец-142" sheetId="8" r:id="rId5"/>
    <sheet name="договора медикаментов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9" l="1"/>
  <c r="D50" i="9"/>
  <c r="D46" i="9"/>
  <c r="D43" i="9"/>
  <c r="D35" i="9"/>
  <c r="E2" i="9"/>
  <c r="D10" i="9"/>
  <c r="L16" i="1" l="1"/>
  <c r="L25" i="1"/>
  <c r="L19" i="1"/>
  <c r="M16" i="1"/>
  <c r="L18" i="1" l="1"/>
  <c r="I30" i="1"/>
  <c r="I26" i="1"/>
  <c r="I24" i="1"/>
  <c r="I23" i="1"/>
  <c r="I21" i="1"/>
  <c r="I36" i="1" l="1"/>
  <c r="I25" i="1"/>
  <c r="I29" i="1"/>
  <c r="I20" i="1"/>
  <c r="I18" i="1"/>
  <c r="I17" i="1"/>
  <c r="I16" i="1"/>
  <c r="D11" i="9" l="1"/>
  <c r="F36" i="1" l="1"/>
  <c r="D36" i="1"/>
  <c r="E43" i="1"/>
  <c r="E36" i="1"/>
  <c r="C16" i="1"/>
  <c r="C24" i="1" l="1"/>
  <c r="D9" i="5"/>
  <c r="N61" i="3"/>
  <c r="J78" i="3"/>
  <c r="I78" i="3"/>
  <c r="H78" i="3"/>
  <c r="G78" i="3"/>
  <c r="F78" i="3"/>
  <c r="E78" i="3"/>
  <c r="D78" i="3"/>
  <c r="C78" i="3"/>
  <c r="K78" i="3" s="1"/>
  <c r="J77" i="3"/>
  <c r="I77" i="3"/>
  <c r="H77" i="3"/>
  <c r="G77" i="3"/>
  <c r="F77" i="3"/>
  <c r="E77" i="3"/>
  <c r="D77" i="3"/>
  <c r="C77" i="3"/>
  <c r="K77" i="3" s="1"/>
  <c r="J76" i="3"/>
  <c r="I76" i="3"/>
  <c r="H76" i="3"/>
  <c r="G76" i="3"/>
  <c r="F76" i="3"/>
  <c r="E76" i="3"/>
  <c r="D76" i="3"/>
  <c r="C76" i="3"/>
  <c r="K76" i="3" s="1"/>
  <c r="J75" i="3"/>
  <c r="I75" i="3"/>
  <c r="H75" i="3"/>
  <c r="G75" i="3"/>
  <c r="F75" i="3"/>
  <c r="E75" i="3"/>
  <c r="D75" i="3"/>
  <c r="C75" i="3"/>
  <c r="K75" i="3" s="1"/>
  <c r="J74" i="3"/>
  <c r="I74" i="3"/>
  <c r="H74" i="3"/>
  <c r="G74" i="3"/>
  <c r="F74" i="3"/>
  <c r="E74" i="3"/>
  <c r="D74" i="3"/>
  <c r="C74" i="3"/>
  <c r="K74" i="3" s="1"/>
  <c r="I73" i="3"/>
  <c r="E73" i="3"/>
  <c r="K66" i="3"/>
  <c r="G66" i="3"/>
  <c r="L66" i="3" s="1"/>
  <c r="F66" i="3"/>
  <c r="E66" i="3"/>
  <c r="J66" i="3" s="1"/>
  <c r="C66" i="3"/>
  <c r="H66" i="3" s="1"/>
  <c r="G65" i="3"/>
  <c r="L65" i="3" s="1"/>
  <c r="F65" i="3"/>
  <c r="K65" i="3" s="1"/>
  <c r="E65" i="3"/>
  <c r="J65" i="3" s="1"/>
  <c r="C65" i="3"/>
  <c r="H65" i="3" s="1"/>
  <c r="K64" i="3"/>
  <c r="G64" i="3"/>
  <c r="L64" i="3" s="1"/>
  <c r="F64" i="3"/>
  <c r="E64" i="3"/>
  <c r="J64" i="3" s="1"/>
  <c r="C64" i="3"/>
  <c r="H64" i="3" s="1"/>
  <c r="K63" i="3"/>
  <c r="G63" i="3"/>
  <c r="L63" i="3" s="1"/>
  <c r="F63" i="3"/>
  <c r="E63" i="3"/>
  <c r="J63" i="3" s="1"/>
  <c r="C63" i="3"/>
  <c r="H63" i="3" s="1"/>
  <c r="K62" i="3"/>
  <c r="G62" i="3"/>
  <c r="G61" i="3" s="1"/>
  <c r="L61" i="3" s="1"/>
  <c r="F62" i="3"/>
  <c r="F61" i="3" s="1"/>
  <c r="K61" i="3" s="1"/>
  <c r="E62" i="3"/>
  <c r="J62" i="3" s="1"/>
  <c r="C62" i="3"/>
  <c r="H62" i="3" s="1"/>
  <c r="E61" i="3"/>
  <c r="J61" i="3" s="1"/>
  <c r="I53" i="3"/>
  <c r="D53" i="3"/>
  <c r="I52" i="3"/>
  <c r="D52" i="3"/>
  <c r="I51" i="3"/>
  <c r="D51" i="3"/>
  <c r="I50" i="3"/>
  <c r="D50" i="3"/>
  <c r="I49" i="3"/>
  <c r="D49" i="3"/>
  <c r="D48" i="3" s="1"/>
  <c r="L48" i="3"/>
  <c r="K48" i="3"/>
  <c r="J48" i="3"/>
  <c r="I48" i="3"/>
  <c r="H48" i="3"/>
  <c r="C61" i="3" s="1"/>
  <c r="H61" i="3" s="1"/>
  <c r="G48" i="3"/>
  <c r="F48" i="3"/>
  <c r="E48" i="3"/>
  <c r="C48" i="3"/>
  <c r="I40" i="3"/>
  <c r="D40" i="3"/>
  <c r="I39" i="3"/>
  <c r="D39" i="3"/>
  <c r="I38" i="3"/>
  <c r="D38" i="3"/>
  <c r="I37" i="3"/>
  <c r="D37" i="3"/>
  <c r="I36" i="3"/>
  <c r="D36" i="3"/>
  <c r="D35" i="3" s="1"/>
  <c r="L35" i="3"/>
  <c r="K35" i="3"/>
  <c r="J35" i="3"/>
  <c r="I35" i="3"/>
  <c r="H35" i="3"/>
  <c r="H73" i="3" s="1"/>
  <c r="G35" i="3"/>
  <c r="F35" i="3"/>
  <c r="E35" i="3"/>
  <c r="C35" i="3"/>
  <c r="G73" i="3" s="1"/>
  <c r="I27" i="3"/>
  <c r="D27" i="3"/>
  <c r="I26" i="3"/>
  <c r="D26" i="3"/>
  <c r="I25" i="3"/>
  <c r="D25" i="3"/>
  <c r="I24" i="3"/>
  <c r="D24" i="3"/>
  <c r="I23" i="3"/>
  <c r="D23" i="3"/>
  <c r="D22" i="3" s="1"/>
  <c r="L22" i="3"/>
  <c r="K22" i="3"/>
  <c r="J22" i="3"/>
  <c r="I22" i="3"/>
  <c r="H22" i="3"/>
  <c r="F73" i="3" s="1"/>
  <c r="G22" i="3"/>
  <c r="F22" i="3"/>
  <c r="E22" i="3"/>
  <c r="C22" i="3"/>
  <c r="I14" i="3"/>
  <c r="D14" i="3"/>
  <c r="I13" i="3"/>
  <c r="D13" i="3"/>
  <c r="I12" i="3"/>
  <c r="D12" i="3"/>
  <c r="I11" i="3"/>
  <c r="D11" i="3"/>
  <c r="I10" i="3"/>
  <c r="D10" i="3"/>
  <c r="D9" i="3" s="1"/>
  <c r="L9" i="3"/>
  <c r="K9" i="3"/>
  <c r="J9" i="3"/>
  <c r="I9" i="3"/>
  <c r="H9" i="3"/>
  <c r="D73" i="3" s="1"/>
  <c r="G9" i="3"/>
  <c r="F9" i="3"/>
  <c r="E9" i="3"/>
  <c r="C9" i="3"/>
  <c r="C73" i="3" s="1"/>
  <c r="D62" i="3" l="1"/>
  <c r="L62" i="3"/>
  <c r="D64" i="3"/>
  <c r="I64" i="3" s="1"/>
  <c r="D66" i="3"/>
  <c r="I66" i="3" s="1"/>
  <c r="J73" i="3"/>
  <c r="K73" i="3" s="1"/>
  <c r="D63" i="3"/>
  <c r="I63" i="3" s="1"/>
  <c r="D65" i="3"/>
  <c r="I65" i="3" s="1"/>
  <c r="D61" i="3" l="1"/>
  <c r="I61" i="3" s="1"/>
  <c r="I62" i="3"/>
  <c r="D44" i="1" l="1"/>
  <c r="C44" i="1"/>
  <c r="H41" i="1"/>
  <c r="G39" i="1"/>
  <c r="F39" i="1"/>
  <c r="H39" i="1" s="1"/>
  <c r="E39" i="1"/>
  <c r="D39" i="1" s="1"/>
  <c r="G37" i="1"/>
  <c r="H37" i="1" s="1"/>
  <c r="F37" i="1"/>
  <c r="E37" i="1" s="1"/>
  <c r="D37" i="1" s="1"/>
  <c r="G36" i="1"/>
  <c r="C36" i="1"/>
  <c r="H35" i="1"/>
  <c r="G35" i="1"/>
  <c r="F35" i="1"/>
  <c r="E35" i="1"/>
  <c r="D35" i="1"/>
  <c r="G34" i="1"/>
  <c r="F34" i="1"/>
  <c r="H34" i="1" s="1"/>
  <c r="H33" i="1"/>
  <c r="G32" i="1"/>
  <c r="F32" i="1"/>
  <c r="H32" i="1" s="1"/>
  <c r="E32" i="1"/>
  <c r="D32" i="1" s="1"/>
  <c r="G31" i="1"/>
  <c r="G30" i="1" s="1"/>
  <c r="F31" i="1"/>
  <c r="E31" i="1" s="1"/>
  <c r="C30" i="1"/>
  <c r="G29" i="1"/>
  <c r="H29" i="1" s="1"/>
  <c r="F29" i="1"/>
  <c r="E29" i="1" s="1"/>
  <c r="D29" i="1" s="1"/>
  <c r="H28" i="1"/>
  <c r="G27" i="1"/>
  <c r="F27" i="1"/>
  <c r="E27" i="1" s="1"/>
  <c r="G26" i="1"/>
  <c r="C26" i="1"/>
  <c r="C43" i="1" s="1"/>
  <c r="C45" i="1" s="1"/>
  <c r="H25" i="1"/>
  <c r="G25" i="1"/>
  <c r="F25" i="1"/>
  <c r="E25" i="1"/>
  <c r="D25" i="1"/>
  <c r="G24" i="1"/>
  <c r="F24" i="1"/>
  <c r="H24" i="1" s="1"/>
  <c r="E24" i="1"/>
  <c r="D24" i="1" s="1"/>
  <c r="G23" i="1"/>
  <c r="H23" i="1" s="1"/>
  <c r="F23" i="1"/>
  <c r="E23" i="1"/>
  <c r="D23" i="1"/>
  <c r="H22" i="1"/>
  <c r="G21" i="1"/>
  <c r="F21" i="1"/>
  <c r="H21" i="1" s="1"/>
  <c r="E21" i="1"/>
  <c r="D21" i="1" s="1"/>
  <c r="G20" i="1"/>
  <c r="F20" i="1"/>
  <c r="E20" i="1" s="1"/>
  <c r="D20" i="1" s="1"/>
  <c r="G19" i="1"/>
  <c r="H19" i="1" s="1"/>
  <c r="F19" i="1"/>
  <c r="N18" i="1"/>
  <c r="G18" i="1"/>
  <c r="F18" i="1"/>
  <c r="E18" i="1"/>
  <c r="D18" i="1"/>
  <c r="H17" i="1"/>
  <c r="G17" i="1"/>
  <c r="F17" i="1"/>
  <c r="C17" i="1"/>
  <c r="H16" i="1"/>
  <c r="G16" i="1"/>
  <c r="F16" i="1"/>
  <c r="E16" i="1"/>
  <c r="D16" i="1"/>
  <c r="J16" i="2"/>
  <c r="J15" i="2"/>
  <c r="J14" i="2"/>
  <c r="J13" i="2"/>
  <c r="J12" i="2"/>
  <c r="J11" i="2"/>
  <c r="J10" i="2"/>
  <c r="J9" i="2"/>
  <c r="J8" i="2"/>
  <c r="J7" i="2"/>
  <c r="J6" i="2"/>
  <c r="J5" i="2"/>
  <c r="C17" i="2"/>
  <c r="H12" i="2"/>
  <c r="F12" i="2"/>
  <c r="E12" i="2"/>
  <c r="D12" i="2"/>
  <c r="B12" i="2"/>
  <c r="H11" i="2"/>
  <c r="G11" i="2"/>
  <c r="E11" i="2"/>
  <c r="D11" i="2"/>
  <c r="H10" i="2"/>
  <c r="F10" i="2"/>
  <c r="D10" i="2"/>
  <c r="B10" i="2"/>
  <c r="H9" i="2"/>
  <c r="F9" i="2"/>
  <c r="E9" i="2"/>
  <c r="D9" i="2"/>
  <c r="B9" i="2"/>
  <c r="H8" i="2"/>
  <c r="G8" i="2"/>
  <c r="E8" i="2"/>
  <c r="D8" i="2"/>
  <c r="B8" i="2"/>
  <c r="G7" i="2"/>
  <c r="E7" i="2"/>
  <c r="H6" i="2"/>
  <c r="G6" i="2"/>
  <c r="B6" i="2"/>
  <c r="I5" i="2"/>
  <c r="I17" i="2" s="1"/>
  <c r="H5" i="2"/>
  <c r="G5" i="2"/>
  <c r="E5" i="2"/>
  <c r="D5" i="2"/>
  <c r="D17" i="2" s="1"/>
  <c r="B5" i="2"/>
  <c r="G43" i="1" l="1"/>
  <c r="D27" i="1"/>
  <c r="D26" i="1" s="1"/>
  <c r="D43" i="1" s="1"/>
  <c r="E26" i="1"/>
  <c r="E30" i="1"/>
  <c r="D31" i="1"/>
  <c r="D30" i="1" s="1"/>
  <c r="F43" i="1"/>
  <c r="H43" i="1" s="1"/>
  <c r="H18" i="1"/>
  <c r="H20" i="1"/>
  <c r="H27" i="1"/>
  <c r="H31" i="1"/>
  <c r="H36" i="1"/>
  <c r="F30" i="1"/>
  <c r="F26" i="1"/>
  <c r="H26" i="1" s="1"/>
  <c r="G17" i="2"/>
  <c r="J17" i="2"/>
  <c r="H17" i="2"/>
  <c r="F17" i="2"/>
  <c r="E17" i="2"/>
  <c r="B17" i="2"/>
  <c r="F44" i="1" l="1"/>
  <c r="F46" i="1" s="1"/>
  <c r="E44" i="1"/>
  <c r="D45" i="1"/>
</calcChain>
</file>

<file path=xl/sharedStrings.xml><?xml version="1.0" encoding="utf-8"?>
<sst xmlns="http://schemas.openxmlformats.org/spreadsheetml/2006/main" count="272" uniqueCount="179">
  <si>
    <t>Отчет об исполнении  плана  финансирования</t>
  </si>
  <si>
    <t xml:space="preserve">                                                                                                                                                                     </t>
  </si>
  <si>
    <t xml:space="preserve"> Форма №2</t>
  </si>
  <si>
    <t>код</t>
  </si>
  <si>
    <t>Функциональная  группа  ФОСМС____________________________</t>
  </si>
  <si>
    <t>Администратор  бюджетных программ  Управление общественного  здоровья ТО        по ОКПО</t>
  </si>
  <si>
    <t>067</t>
  </si>
  <si>
    <t>Бюджетная  программа  _________________________</t>
  </si>
  <si>
    <t>100</t>
  </si>
  <si>
    <t>Подпрограмма-----ФОСМС______________________         по ОКПО</t>
  </si>
  <si>
    <t>159</t>
  </si>
  <si>
    <r>
      <t xml:space="preserve"> </t>
    </r>
    <r>
      <rPr>
        <b/>
        <u/>
        <sz val="10"/>
        <rFont val="Arial Cyr"/>
        <charset val="204"/>
      </rPr>
      <t>ГКП на ПХВ  "Областной  перинатальный центр №3."</t>
    </r>
  </si>
  <si>
    <t>ЕЖЕМЕСЯЧ</t>
  </si>
  <si>
    <t>Периодичность : годовая, квартальная_ЕЖЕМЕСЯЧНАЯ______________________________</t>
  </si>
  <si>
    <t>Дата    на  1 сентября  2022 г.</t>
  </si>
  <si>
    <t>Единица  измерения--тыс. тенге_____________________________</t>
  </si>
  <si>
    <t>Наименование специфики  расходов</t>
  </si>
  <si>
    <t>Код специфики</t>
  </si>
  <si>
    <t xml:space="preserve">Уточненный план финансирования </t>
  </si>
  <si>
    <t>Утверждено по смете на отчетный период</t>
  </si>
  <si>
    <t>Разрешено с начало года</t>
  </si>
  <si>
    <t>Кассовые расходы</t>
  </si>
  <si>
    <t>Фактические расходы</t>
  </si>
  <si>
    <t xml:space="preserve">Основная заработная плата </t>
  </si>
  <si>
    <t>Диференцированные оплаты (поощрение)</t>
  </si>
  <si>
    <t xml:space="preserve">Компенсационные выплаты </t>
  </si>
  <si>
    <t>Дополнительно установленные обязательные пенсионные взносы</t>
  </si>
  <si>
    <t>Социальный  налог</t>
  </si>
  <si>
    <t>Социальные отчисления Государственный фонд</t>
  </si>
  <si>
    <t xml:space="preserve">Взносы на обязательное страхование </t>
  </si>
  <si>
    <t>Обязательное социальное медицинское страхование</t>
  </si>
  <si>
    <t>Приобретение продуктов питания</t>
  </si>
  <si>
    <t xml:space="preserve">Приобретение медикаментов </t>
  </si>
  <si>
    <t>июнь</t>
  </si>
  <si>
    <t>Приобретение топлива и ГСМ:</t>
  </si>
  <si>
    <t>за ГСМ</t>
  </si>
  <si>
    <t>За газ,уголь</t>
  </si>
  <si>
    <t>Приобретение прочих товаров</t>
  </si>
  <si>
    <t>Оплата коммунальных услуг в.т.ч.</t>
  </si>
  <si>
    <t>за воду</t>
  </si>
  <si>
    <t>за электроэнергию</t>
  </si>
  <si>
    <t>Диз топливо</t>
  </si>
  <si>
    <t>отопление газ</t>
  </si>
  <si>
    <t>Оплата услуг связи</t>
  </si>
  <si>
    <t>Прочие услуги и работы</t>
  </si>
  <si>
    <t>Командировки и  служебные разъезды внутри страны</t>
  </si>
  <si>
    <t>Перечисление поставщику суммы НДС,по</t>
  </si>
  <si>
    <t>Прочие текущие затраты</t>
  </si>
  <si>
    <t>Трансферты физическим лицам</t>
  </si>
  <si>
    <t>Лизинг</t>
  </si>
  <si>
    <t>Всего</t>
  </si>
  <si>
    <t>Руководитель :                         Сыздыкова Г.Ж.</t>
  </si>
  <si>
    <t xml:space="preserve">                                 (подпись)                      (ФИО)</t>
  </si>
  <si>
    <t>ост</t>
  </si>
  <si>
    <t>Гл.бухгалтер-                     Кожамбекова Ж.К.</t>
  </si>
  <si>
    <t xml:space="preserve">  (подпись)                      (ФИО)</t>
  </si>
  <si>
    <t>Дата «1» августа  -2022 г.</t>
  </si>
  <si>
    <t>2022  год</t>
  </si>
  <si>
    <t>ФОСМС</t>
  </si>
  <si>
    <t>418 оборудов</t>
  </si>
  <si>
    <t>платный</t>
  </si>
  <si>
    <t>возврат 10%,5%,зарплаты</t>
  </si>
  <si>
    <t>ДОХОД (неустойки,доход,пени)</t>
  </si>
  <si>
    <t>Гарантийный внос</t>
  </si>
  <si>
    <t>АПП</t>
  </si>
  <si>
    <t>аренда или возврат 3310</t>
  </si>
  <si>
    <t>январь</t>
  </si>
  <si>
    <t>февраль</t>
  </si>
  <si>
    <t>март</t>
  </si>
  <si>
    <t>апрель</t>
  </si>
  <si>
    <t>май</t>
  </si>
  <si>
    <t>июль</t>
  </si>
  <si>
    <t>август</t>
  </si>
  <si>
    <t>сентябрь</t>
  </si>
  <si>
    <t>октябрь</t>
  </si>
  <si>
    <t>ноября</t>
  </si>
  <si>
    <t>декабрь</t>
  </si>
  <si>
    <t xml:space="preserve">ИТОГО </t>
  </si>
  <si>
    <t>ЗП по персоналу ФСМС</t>
  </si>
  <si>
    <t>за    2022 года</t>
  </si>
  <si>
    <t xml:space="preserve"> по  ГКП на ПХВ "ОПЦ №3"</t>
  </si>
  <si>
    <t>Начисл За январь</t>
  </si>
  <si>
    <t>в т.ч.</t>
  </si>
  <si>
    <t>Начисл За февраль</t>
  </si>
  <si>
    <t>зарплата</t>
  </si>
  <si>
    <t>оплата лечпособия</t>
  </si>
  <si>
    <t>премия</t>
  </si>
  <si>
    <t>Дифоплата</t>
  </si>
  <si>
    <t>ВМП</t>
  </si>
  <si>
    <t>СМП</t>
  </si>
  <si>
    <t>ММП</t>
  </si>
  <si>
    <t>Управл персонал</t>
  </si>
  <si>
    <t>АДМхоз</t>
  </si>
  <si>
    <t>Начисл За март</t>
  </si>
  <si>
    <t>Начисл За апрель</t>
  </si>
  <si>
    <t>Начисл За май</t>
  </si>
  <si>
    <t>Начисл За июнь</t>
  </si>
  <si>
    <t>Начисл За июль</t>
  </si>
  <si>
    <t>Начисл За август</t>
  </si>
  <si>
    <t>Начисл За 8 мес 2022 г</t>
  </si>
  <si>
    <t>Средняя начисл  за месяц 2022 г</t>
  </si>
  <si>
    <t>Начисление зарплаты за 8 мес 2022 г по ОПЦ №3</t>
  </si>
  <si>
    <t>Поставщик 141-спец</t>
  </si>
  <si>
    <t>№</t>
  </si>
  <si>
    <t>Поставщик</t>
  </si>
  <si>
    <t>Сумма</t>
  </si>
  <si>
    <t>Приход</t>
  </si>
  <si>
    <t>Оплочено</t>
  </si>
  <si>
    <t>ИП Маликова</t>
  </si>
  <si>
    <t>ТОО Проектно-Производственная компания "ЮжКазСпецПрект"</t>
  </si>
  <si>
    <t>Итого</t>
  </si>
  <si>
    <t>Сппец 142-"Приобретение медикаментов и ИМН"</t>
  </si>
  <si>
    <t>Остаток на 01.01.2022</t>
  </si>
  <si>
    <t>Приход за 8-месяцев</t>
  </si>
  <si>
    <t>Расход за 8- месяцев</t>
  </si>
  <si>
    <t>Остаток</t>
  </si>
  <si>
    <t>Протокол №</t>
  </si>
  <si>
    <t>Сумма договора</t>
  </si>
  <si>
    <t>ТОО "СК-Фармация</t>
  </si>
  <si>
    <t>ПТ "Сагиндыков и компания"</t>
  </si>
  <si>
    <t>ТОО "Фарм Орда"</t>
  </si>
  <si>
    <t>ТОО "АRMED PHARM"</t>
  </si>
  <si>
    <t>TOO "KAZBIOTECH"</t>
  </si>
  <si>
    <t>ТОО "ТИН"</t>
  </si>
  <si>
    <t>ТОО "QazMegaCom"</t>
  </si>
  <si>
    <t>TOO "SM Global.KZ"</t>
  </si>
  <si>
    <t>TOO "Viva Medical"</t>
  </si>
  <si>
    <t>TOO "APF-Med"</t>
  </si>
  <si>
    <t>ТОО "Новомед КЗ"</t>
  </si>
  <si>
    <t>ТОО "Димеда"</t>
  </si>
  <si>
    <t>ТОО "Казахстан -Мед.Дез"</t>
  </si>
  <si>
    <t>ИП "Тукешов Арман Кажимуханович"</t>
  </si>
  <si>
    <t>ТОО "АК НИЕТ"</t>
  </si>
  <si>
    <t>ТОО "SUNMEDICA"</t>
  </si>
  <si>
    <t>TOO "GT PHARMA"</t>
  </si>
  <si>
    <t>TOO "ECO Pharm KZ''</t>
  </si>
  <si>
    <t>ИП "Алтынбеков Р.М"</t>
  </si>
  <si>
    <t>ТОО "RuMAFarm"</t>
  </si>
  <si>
    <t>ТОО "НПО"ЗЕРДЕ"</t>
  </si>
  <si>
    <t>ТОО "A.N.P"</t>
  </si>
  <si>
    <t>TOO "INKAR"</t>
  </si>
  <si>
    <t>TOO "ONTUSTIK MEDICAL"</t>
  </si>
  <si>
    <t>TOO "SanMedPlus"</t>
  </si>
  <si>
    <t>TOO "Мелиор LTD"</t>
  </si>
  <si>
    <t>ТОО "Фарм Синтез"</t>
  </si>
  <si>
    <t>ТОО "Беласар Интернейшнл"</t>
  </si>
  <si>
    <t>ТОО "ДиАКиТ"</t>
  </si>
  <si>
    <t>ТОО "Нур Торе"</t>
  </si>
  <si>
    <t>Всего итого:</t>
  </si>
  <si>
    <t>Аптека</t>
  </si>
  <si>
    <t>Дог №1 (лекарственные средства</t>
  </si>
  <si>
    <t>Дог №2 (нартотик)</t>
  </si>
  <si>
    <t>Дог №3 (ИМН)</t>
  </si>
  <si>
    <t>%</t>
  </si>
  <si>
    <t>Долг на 01.09.2022 г.</t>
  </si>
  <si>
    <t>Расход</t>
  </si>
  <si>
    <t>медикаменты</t>
  </si>
  <si>
    <t>питание</t>
  </si>
  <si>
    <t>149-запасы</t>
  </si>
  <si>
    <t>159-работы и услуги</t>
  </si>
  <si>
    <t>зарплата и налоги</t>
  </si>
  <si>
    <t xml:space="preserve">налоги и отчисления </t>
  </si>
  <si>
    <t>зар/плата</t>
  </si>
  <si>
    <t>налог</t>
  </si>
  <si>
    <t>Коммуналь услуги</t>
  </si>
  <si>
    <t>1,2,3,4</t>
  </si>
  <si>
    <t>2,3,7,13</t>
  </si>
  <si>
    <t>1,2,6,9</t>
  </si>
  <si>
    <t>7,9,12</t>
  </si>
  <si>
    <t>7,10,12,13</t>
  </si>
  <si>
    <t>По сайту Приказ 375 от 04.06.2021года.</t>
  </si>
  <si>
    <t xml:space="preserve">Дез средства по порталу госзакупа </t>
  </si>
  <si>
    <t>ТОО ФОРПОСТ-Сервис (Мыло антибактериальное 1л)</t>
  </si>
  <si>
    <t>ТОО Форпост -Сервис (Дез средство 1 л)</t>
  </si>
  <si>
    <t>ИП САЛИМА (Дез средство хлор таб (300 таб))</t>
  </si>
  <si>
    <t>ТОО AMICOS (дез среда 1,5 кг порошковый)</t>
  </si>
  <si>
    <t>ТОО СК-Фармация</t>
  </si>
  <si>
    <t>Дез средства</t>
  </si>
  <si>
    <t>Всего 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</si>
</sst>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Arial Cyr"/>
      <charset val="204"/>
    </font>
    <font>
      <sz val="10"/>
      <color rgb="FF00B05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Arial Cyr"/>
      <charset val="204"/>
    </font>
    <font>
      <b/>
      <sz val="9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ont="1" applyFill="1"/>
    <xf numFmtId="0" fontId="0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0" fillId="4" borderId="0" xfId="0" applyFill="1"/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3" fillId="0" borderId="0" xfId="0" applyFont="1"/>
    <xf numFmtId="0" fontId="6" fillId="0" borderId="8" xfId="0" applyFont="1" applyBorder="1" applyAlignment="1">
      <alignment vertical="top" wrapText="1"/>
    </xf>
    <xf numFmtId="164" fontId="9" fillId="2" borderId="9" xfId="0" applyNumberFormat="1" applyFont="1" applyFill="1" applyBorder="1" applyAlignment="1">
      <alignment vertical="top" wrapText="1"/>
    </xf>
    <xf numFmtId="164" fontId="9" fillId="2" borderId="10" xfId="0" applyNumberFormat="1" applyFont="1" applyFill="1" applyBorder="1" applyAlignment="1">
      <alignment vertical="top" wrapText="1"/>
    </xf>
    <xf numFmtId="164" fontId="0" fillId="0" borderId="0" xfId="0" applyNumberFormat="1" applyFont="1"/>
    <xf numFmtId="164" fontId="10" fillId="0" borderId="0" xfId="0" applyNumberFormat="1" applyFont="1"/>
    <xf numFmtId="164" fontId="3" fillId="0" borderId="0" xfId="0" applyNumberFormat="1" applyFont="1"/>
    <xf numFmtId="164" fontId="9" fillId="2" borderId="11" xfId="0" applyNumberFormat="1" applyFont="1" applyFill="1" applyBorder="1" applyAlignment="1">
      <alignment vertical="top" wrapText="1"/>
    </xf>
    <xf numFmtId="164" fontId="9" fillId="2" borderId="1" xfId="0" applyNumberFormat="1" applyFont="1" applyFill="1" applyBorder="1" applyAlignment="1">
      <alignment vertical="top" wrapText="1"/>
    </xf>
    <xf numFmtId="0" fontId="10" fillId="0" borderId="0" xfId="0" applyFont="1"/>
    <xf numFmtId="164" fontId="9" fillId="5" borderId="1" xfId="0" applyNumberFormat="1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 wrapText="1"/>
    </xf>
    <xf numFmtId="164" fontId="6" fillId="2" borderId="1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0" fillId="0" borderId="0" xfId="0" applyFont="1"/>
    <xf numFmtId="164" fontId="6" fillId="0" borderId="1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164" fontId="10" fillId="0" borderId="0" xfId="0" applyNumberFormat="1" applyFont="1" applyFill="1"/>
    <xf numFmtId="164" fontId="0" fillId="0" borderId="0" xfId="0" applyNumberFormat="1" applyFont="1" applyFill="1"/>
    <xf numFmtId="0" fontId="3" fillId="0" borderId="0" xfId="0" applyFont="1" applyFill="1"/>
    <xf numFmtId="0" fontId="10" fillId="0" borderId="0" xfId="0" applyFont="1" applyFill="1"/>
    <xf numFmtId="0" fontId="0" fillId="0" borderId="0" xfId="0" applyFill="1"/>
    <xf numFmtId="0" fontId="6" fillId="0" borderId="3" xfId="0" applyFont="1" applyBorder="1" applyAlignment="1">
      <alignment vertical="top" wrapText="1"/>
    </xf>
    <xf numFmtId="164" fontId="10" fillId="0" borderId="0" xfId="0" applyNumberFormat="1" applyFont="1" applyBorder="1"/>
    <xf numFmtId="0" fontId="6" fillId="0" borderId="1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164" fontId="3" fillId="0" borderId="0" xfId="0" applyNumberFormat="1" applyFont="1" applyBorder="1"/>
    <xf numFmtId="0" fontId="6" fillId="0" borderId="13" xfId="0" applyFont="1" applyBorder="1" applyAlignment="1">
      <alignment vertical="top" wrapText="1"/>
    </xf>
    <xf numFmtId="164" fontId="6" fillId="0" borderId="11" xfId="0" applyNumberFormat="1" applyFont="1" applyBorder="1" applyAlignment="1">
      <alignment vertical="top" wrapText="1"/>
    </xf>
    <xf numFmtId="164" fontId="6" fillId="0" borderId="14" xfId="0" applyNumberFormat="1" applyFont="1" applyBorder="1" applyAlignment="1">
      <alignment vertical="top" wrapText="1"/>
    </xf>
    <xf numFmtId="164" fontId="6" fillId="0" borderId="15" xfId="0" applyNumberFormat="1" applyFont="1" applyBorder="1" applyAlignment="1">
      <alignment vertical="top" wrapText="1"/>
    </xf>
    <xf numFmtId="164" fontId="6" fillId="0" borderId="15" xfId="0" applyNumberFormat="1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0" fillId="4" borderId="4" xfId="0" applyFont="1" applyFill="1" applyBorder="1"/>
    <xf numFmtId="164" fontId="11" fillId="4" borderId="4" xfId="0" applyNumberFormat="1" applyFont="1" applyFill="1" applyBorder="1"/>
    <xf numFmtId="164" fontId="12" fillId="4" borderId="0" xfId="0" applyNumberFormat="1" applyFont="1" applyFill="1" applyBorder="1"/>
    <xf numFmtId="164" fontId="10" fillId="4" borderId="0" xfId="0" applyNumberFormat="1" applyFont="1" applyFill="1"/>
    <xf numFmtId="0" fontId="11" fillId="4" borderId="0" xfId="0" applyFont="1" applyFill="1"/>
    <xf numFmtId="0" fontId="10" fillId="4" borderId="0" xfId="0" applyFont="1" applyFill="1"/>
    <xf numFmtId="0" fontId="6" fillId="0" borderId="0" xfId="0" applyFont="1" applyBorder="1"/>
    <xf numFmtId="164" fontId="12" fillId="0" borderId="0" xfId="0" applyNumberFormat="1" applyFont="1" applyBorder="1"/>
    <xf numFmtId="164" fontId="6" fillId="0" borderId="0" xfId="0" applyNumberFormat="1" applyFont="1" applyBorder="1" applyAlignment="1">
      <alignment vertical="top" wrapText="1"/>
    </xf>
    <xf numFmtId="164" fontId="4" fillId="0" borderId="0" xfId="0" applyNumberFormat="1" applyFont="1"/>
    <xf numFmtId="0" fontId="6" fillId="0" borderId="0" xfId="0" applyFont="1"/>
    <xf numFmtId="0" fontId="12" fillId="0" borderId="0" xfId="0" applyFont="1"/>
    <xf numFmtId="164" fontId="11" fillId="0" borderId="0" xfId="0" applyNumberFormat="1" applyFont="1"/>
    <xf numFmtId="164" fontId="12" fillId="0" borderId="0" xfId="0" applyNumberFormat="1" applyFont="1"/>
    <xf numFmtId="0" fontId="6" fillId="0" borderId="0" xfId="0" applyFont="1" applyAlignment="1"/>
    <xf numFmtId="164" fontId="13" fillId="0" borderId="0" xfId="0" applyNumberFormat="1" applyFont="1"/>
    <xf numFmtId="0" fontId="14" fillId="0" borderId="0" xfId="0" applyFont="1"/>
    <xf numFmtId="0" fontId="4" fillId="0" borderId="0" xfId="0" applyFont="1"/>
    <xf numFmtId="0" fontId="15" fillId="0" borderId="0" xfId="0" applyFont="1"/>
    <xf numFmtId="0" fontId="11" fillId="0" borderId="0" xfId="0" applyFont="1"/>
    <xf numFmtId="2" fontId="16" fillId="0" borderId="1" xfId="0" applyNumberFormat="1" applyFont="1" applyFill="1" applyBorder="1"/>
    <xf numFmtId="49" fontId="11" fillId="6" borderId="1" xfId="0" applyNumberFormat="1" applyFont="1" applyFill="1" applyBorder="1"/>
    <xf numFmtId="49" fontId="11" fillId="6" borderId="1" xfId="0" applyNumberFormat="1" applyFont="1" applyFill="1" applyBorder="1" applyAlignment="1">
      <alignment wrapText="1"/>
    </xf>
    <xf numFmtId="0" fontId="4" fillId="0" borderId="1" xfId="0" applyFont="1" applyFill="1" applyBorder="1"/>
    <xf numFmtId="2" fontId="12" fillId="2" borderId="1" xfId="0" applyNumberFormat="1" applyFont="1" applyFill="1" applyBorder="1"/>
    <xf numFmtId="0" fontId="0" fillId="0" borderId="1" xfId="0" applyBorder="1"/>
    <xf numFmtId="2" fontId="11" fillId="0" borderId="1" xfId="0" applyNumberFormat="1" applyFont="1" applyBorder="1"/>
    <xf numFmtId="1" fontId="12" fillId="2" borderId="1" xfId="0" applyNumberFormat="1" applyFont="1" applyFill="1" applyBorder="1"/>
    <xf numFmtId="2" fontId="0" fillId="0" borderId="1" xfId="0" applyNumberFormat="1" applyFont="1" applyFill="1" applyBorder="1"/>
    <xf numFmtId="164" fontId="0" fillId="0" borderId="1" xfId="0" applyNumberFormat="1" applyFont="1" applyFill="1" applyBorder="1"/>
    <xf numFmtId="0" fontId="4" fillId="0" borderId="1" xfId="0" applyFont="1" applyBorder="1"/>
    <xf numFmtId="1" fontId="12" fillId="0" borderId="1" xfId="0" applyNumberFormat="1" applyFont="1" applyBorder="1"/>
    <xf numFmtId="1" fontId="0" fillId="0" borderId="1" xfId="0" applyNumberFormat="1" applyBorder="1"/>
    <xf numFmtId="2" fontId="12" fillId="0" borderId="1" xfId="0" applyNumberFormat="1" applyFont="1" applyBorder="1"/>
    <xf numFmtId="2" fontId="0" fillId="0" borderId="1" xfId="0" applyNumberFormat="1" applyBorder="1"/>
    <xf numFmtId="2" fontId="0" fillId="2" borderId="1" xfId="0" applyNumberFormat="1" applyFont="1" applyFill="1" applyBorder="1"/>
    <xf numFmtId="0" fontId="11" fillId="0" borderId="1" xfId="0" applyFont="1" applyBorder="1"/>
    <xf numFmtId="1" fontId="11" fillId="0" borderId="1" xfId="0" applyNumberFormat="1" applyFont="1" applyBorder="1"/>
    <xf numFmtId="2" fontId="17" fillId="0" borderId="1" xfId="0" applyNumberFormat="1" applyFont="1" applyBorder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9" fontId="18" fillId="0" borderId="0" xfId="1" applyFont="1" applyAlignment="1">
      <alignment horizontal="left"/>
    </xf>
    <xf numFmtId="0" fontId="19" fillId="0" borderId="0" xfId="0" applyFont="1" applyAlignment="1">
      <alignment horizontal="center"/>
    </xf>
    <xf numFmtId="0" fontId="20" fillId="8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3" fontId="19" fillId="7" borderId="1" xfId="0" applyNumberFormat="1" applyFont="1" applyFill="1" applyBorder="1" applyAlignment="1">
      <alignment horizontal="left"/>
    </xf>
    <xf numFmtId="3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3" fontId="0" fillId="0" borderId="0" xfId="0" applyNumberFormat="1"/>
    <xf numFmtId="0" fontId="0" fillId="7" borderId="1" xfId="0" applyFill="1" applyBorder="1"/>
    <xf numFmtId="3" fontId="19" fillId="0" borderId="1" xfId="0" applyNumberFormat="1" applyFont="1" applyFill="1" applyBorder="1" applyAlignment="1">
      <alignment horizontal="left"/>
    </xf>
    <xf numFmtId="0" fontId="19" fillId="7" borderId="1" xfId="0" applyFont="1" applyFill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2" fillId="0" borderId="1" xfId="0" applyFont="1" applyBorder="1"/>
    <xf numFmtId="0" fontId="23" fillId="0" borderId="0" xfId="0" applyFont="1"/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3" fontId="25" fillId="0" borderId="1" xfId="0" applyNumberFormat="1" applyFont="1" applyBorder="1"/>
    <xf numFmtId="0" fontId="25" fillId="0" borderId="1" xfId="0" applyFont="1" applyBorder="1" applyAlignment="1">
      <alignment wrapText="1"/>
    </xf>
    <xf numFmtId="4" fontId="25" fillId="0" borderId="1" xfId="0" applyNumberFormat="1" applyFont="1" applyBorder="1"/>
    <xf numFmtId="0" fontId="25" fillId="0" borderId="1" xfId="0" applyFont="1" applyBorder="1" applyAlignment="1">
      <alignment horizontal="right"/>
    </xf>
    <xf numFmtId="0" fontId="26" fillId="0" borderId="1" xfId="0" applyFont="1" applyBorder="1"/>
    <xf numFmtId="0" fontId="24" fillId="0" borderId="1" xfId="0" applyFont="1" applyBorder="1" applyAlignment="1">
      <alignment horizontal="center" vertical="center" wrapText="1"/>
    </xf>
    <xf numFmtId="3" fontId="25" fillId="2" borderId="1" xfId="0" applyNumberFormat="1" applyFont="1" applyFill="1" applyBorder="1"/>
    <xf numFmtId="164" fontId="0" fillId="4" borderId="0" xfId="0" applyNumberFormat="1" applyFill="1" applyAlignment="1">
      <alignment horizontal="right"/>
    </xf>
    <xf numFmtId="10" fontId="10" fillId="0" borderId="0" xfId="0" applyNumberFormat="1" applyFont="1"/>
    <xf numFmtId="164" fontId="27" fillId="0" borderId="0" xfId="0" applyNumberFormat="1" applyFont="1"/>
    <xf numFmtId="2" fontId="10" fillId="0" borderId="0" xfId="0" applyNumberFormat="1" applyFont="1"/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7" borderId="1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1" fillId="0" borderId="0" xfId="0" applyFont="1"/>
    <xf numFmtId="3" fontId="21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topLeftCell="A35" workbookViewId="0">
      <selection activeCell="L19" sqref="L19"/>
    </sheetView>
  </sheetViews>
  <sheetFormatPr defaultRowHeight="15" x14ac:dyDescent="0.25"/>
  <cols>
    <col min="1" max="1" width="38.42578125" customWidth="1"/>
    <col min="2" max="2" width="10" customWidth="1"/>
    <col min="3" max="3" width="14.85546875" customWidth="1"/>
    <col min="4" max="4" width="14.42578125" customWidth="1"/>
    <col min="5" max="5" width="13.7109375" customWidth="1"/>
    <col min="6" max="6" width="13.85546875" customWidth="1"/>
    <col min="7" max="7" width="13.42578125" customWidth="1"/>
    <col min="8" max="8" width="9.28515625" bestFit="1" customWidth="1"/>
    <col min="9" max="9" width="13.28515625" customWidth="1"/>
    <col min="10" max="10" width="12.85546875" customWidth="1"/>
    <col min="11" max="11" width="19.85546875" customWidth="1"/>
    <col min="12" max="12" width="14.28515625" bestFit="1" customWidth="1"/>
    <col min="14" max="14" width="11.140625" bestFit="1" customWidth="1"/>
    <col min="257" max="257" width="38.42578125" customWidth="1"/>
    <col min="258" max="258" width="10" customWidth="1"/>
    <col min="259" max="259" width="11.7109375" customWidth="1"/>
    <col min="260" max="260" width="13.140625" customWidth="1"/>
    <col min="261" max="261" width="12.5703125" customWidth="1"/>
    <col min="262" max="262" width="13.42578125" customWidth="1"/>
    <col min="263" max="263" width="11.7109375" customWidth="1"/>
    <col min="265" max="265" width="11.85546875" customWidth="1"/>
    <col min="266" max="266" width="12.85546875" customWidth="1"/>
    <col min="513" max="513" width="38.42578125" customWidth="1"/>
    <col min="514" max="514" width="10" customWidth="1"/>
    <col min="515" max="515" width="11.7109375" customWidth="1"/>
    <col min="516" max="516" width="13.140625" customWidth="1"/>
    <col min="517" max="517" width="12.5703125" customWidth="1"/>
    <col min="518" max="518" width="13.42578125" customWidth="1"/>
    <col min="519" max="519" width="11.7109375" customWidth="1"/>
    <col min="521" max="521" width="11.85546875" customWidth="1"/>
    <col min="522" max="522" width="12.85546875" customWidth="1"/>
    <col min="769" max="769" width="38.42578125" customWidth="1"/>
    <col min="770" max="770" width="10" customWidth="1"/>
    <col min="771" max="771" width="11.7109375" customWidth="1"/>
    <col min="772" max="772" width="13.140625" customWidth="1"/>
    <col min="773" max="773" width="12.5703125" customWidth="1"/>
    <col min="774" max="774" width="13.42578125" customWidth="1"/>
    <col min="775" max="775" width="11.7109375" customWidth="1"/>
    <col min="777" max="777" width="11.85546875" customWidth="1"/>
    <col min="778" max="778" width="12.85546875" customWidth="1"/>
    <col min="1025" max="1025" width="38.42578125" customWidth="1"/>
    <col min="1026" max="1026" width="10" customWidth="1"/>
    <col min="1027" max="1027" width="11.7109375" customWidth="1"/>
    <col min="1028" max="1028" width="13.140625" customWidth="1"/>
    <col min="1029" max="1029" width="12.5703125" customWidth="1"/>
    <col min="1030" max="1030" width="13.42578125" customWidth="1"/>
    <col min="1031" max="1031" width="11.7109375" customWidth="1"/>
    <col min="1033" max="1033" width="11.85546875" customWidth="1"/>
    <col min="1034" max="1034" width="12.85546875" customWidth="1"/>
    <col min="1281" max="1281" width="38.42578125" customWidth="1"/>
    <col min="1282" max="1282" width="10" customWidth="1"/>
    <col min="1283" max="1283" width="11.7109375" customWidth="1"/>
    <col min="1284" max="1284" width="13.140625" customWidth="1"/>
    <col min="1285" max="1285" width="12.5703125" customWidth="1"/>
    <col min="1286" max="1286" width="13.42578125" customWidth="1"/>
    <col min="1287" max="1287" width="11.7109375" customWidth="1"/>
    <col min="1289" max="1289" width="11.85546875" customWidth="1"/>
    <col min="1290" max="1290" width="12.85546875" customWidth="1"/>
    <col min="1537" max="1537" width="38.42578125" customWidth="1"/>
    <col min="1538" max="1538" width="10" customWidth="1"/>
    <col min="1539" max="1539" width="11.7109375" customWidth="1"/>
    <col min="1540" max="1540" width="13.140625" customWidth="1"/>
    <col min="1541" max="1541" width="12.5703125" customWidth="1"/>
    <col min="1542" max="1542" width="13.42578125" customWidth="1"/>
    <col min="1543" max="1543" width="11.7109375" customWidth="1"/>
    <col min="1545" max="1545" width="11.85546875" customWidth="1"/>
    <col min="1546" max="1546" width="12.85546875" customWidth="1"/>
    <col min="1793" max="1793" width="38.42578125" customWidth="1"/>
    <col min="1794" max="1794" width="10" customWidth="1"/>
    <col min="1795" max="1795" width="11.7109375" customWidth="1"/>
    <col min="1796" max="1796" width="13.140625" customWidth="1"/>
    <col min="1797" max="1797" width="12.5703125" customWidth="1"/>
    <col min="1798" max="1798" width="13.42578125" customWidth="1"/>
    <col min="1799" max="1799" width="11.7109375" customWidth="1"/>
    <col min="1801" max="1801" width="11.85546875" customWidth="1"/>
    <col min="1802" max="1802" width="12.85546875" customWidth="1"/>
    <col min="2049" max="2049" width="38.42578125" customWidth="1"/>
    <col min="2050" max="2050" width="10" customWidth="1"/>
    <col min="2051" max="2051" width="11.7109375" customWidth="1"/>
    <col min="2052" max="2052" width="13.140625" customWidth="1"/>
    <col min="2053" max="2053" width="12.5703125" customWidth="1"/>
    <col min="2054" max="2054" width="13.42578125" customWidth="1"/>
    <col min="2055" max="2055" width="11.7109375" customWidth="1"/>
    <col min="2057" max="2057" width="11.85546875" customWidth="1"/>
    <col min="2058" max="2058" width="12.85546875" customWidth="1"/>
    <col min="2305" max="2305" width="38.42578125" customWidth="1"/>
    <col min="2306" max="2306" width="10" customWidth="1"/>
    <col min="2307" max="2307" width="11.7109375" customWidth="1"/>
    <col min="2308" max="2308" width="13.140625" customWidth="1"/>
    <col min="2309" max="2309" width="12.5703125" customWidth="1"/>
    <col min="2310" max="2310" width="13.42578125" customWidth="1"/>
    <col min="2311" max="2311" width="11.7109375" customWidth="1"/>
    <col min="2313" max="2313" width="11.85546875" customWidth="1"/>
    <col min="2314" max="2314" width="12.85546875" customWidth="1"/>
    <col min="2561" max="2561" width="38.42578125" customWidth="1"/>
    <col min="2562" max="2562" width="10" customWidth="1"/>
    <col min="2563" max="2563" width="11.7109375" customWidth="1"/>
    <col min="2564" max="2564" width="13.140625" customWidth="1"/>
    <col min="2565" max="2565" width="12.5703125" customWidth="1"/>
    <col min="2566" max="2566" width="13.42578125" customWidth="1"/>
    <col min="2567" max="2567" width="11.7109375" customWidth="1"/>
    <col min="2569" max="2569" width="11.85546875" customWidth="1"/>
    <col min="2570" max="2570" width="12.85546875" customWidth="1"/>
    <col min="2817" max="2817" width="38.42578125" customWidth="1"/>
    <col min="2818" max="2818" width="10" customWidth="1"/>
    <col min="2819" max="2819" width="11.7109375" customWidth="1"/>
    <col min="2820" max="2820" width="13.140625" customWidth="1"/>
    <col min="2821" max="2821" width="12.5703125" customWidth="1"/>
    <col min="2822" max="2822" width="13.42578125" customWidth="1"/>
    <col min="2823" max="2823" width="11.7109375" customWidth="1"/>
    <col min="2825" max="2825" width="11.85546875" customWidth="1"/>
    <col min="2826" max="2826" width="12.85546875" customWidth="1"/>
    <col min="3073" max="3073" width="38.42578125" customWidth="1"/>
    <col min="3074" max="3074" width="10" customWidth="1"/>
    <col min="3075" max="3075" width="11.7109375" customWidth="1"/>
    <col min="3076" max="3076" width="13.140625" customWidth="1"/>
    <col min="3077" max="3077" width="12.5703125" customWidth="1"/>
    <col min="3078" max="3078" width="13.42578125" customWidth="1"/>
    <col min="3079" max="3079" width="11.7109375" customWidth="1"/>
    <col min="3081" max="3081" width="11.85546875" customWidth="1"/>
    <col min="3082" max="3082" width="12.85546875" customWidth="1"/>
    <col min="3329" max="3329" width="38.42578125" customWidth="1"/>
    <col min="3330" max="3330" width="10" customWidth="1"/>
    <col min="3331" max="3331" width="11.7109375" customWidth="1"/>
    <col min="3332" max="3332" width="13.140625" customWidth="1"/>
    <col min="3333" max="3333" width="12.5703125" customWidth="1"/>
    <col min="3334" max="3334" width="13.42578125" customWidth="1"/>
    <col min="3335" max="3335" width="11.7109375" customWidth="1"/>
    <col min="3337" max="3337" width="11.85546875" customWidth="1"/>
    <col min="3338" max="3338" width="12.85546875" customWidth="1"/>
    <col min="3585" max="3585" width="38.42578125" customWidth="1"/>
    <col min="3586" max="3586" width="10" customWidth="1"/>
    <col min="3587" max="3587" width="11.7109375" customWidth="1"/>
    <col min="3588" max="3588" width="13.140625" customWidth="1"/>
    <col min="3589" max="3589" width="12.5703125" customWidth="1"/>
    <col min="3590" max="3590" width="13.42578125" customWidth="1"/>
    <col min="3591" max="3591" width="11.7109375" customWidth="1"/>
    <col min="3593" max="3593" width="11.85546875" customWidth="1"/>
    <col min="3594" max="3594" width="12.85546875" customWidth="1"/>
    <col min="3841" max="3841" width="38.42578125" customWidth="1"/>
    <col min="3842" max="3842" width="10" customWidth="1"/>
    <col min="3843" max="3843" width="11.7109375" customWidth="1"/>
    <col min="3844" max="3844" width="13.140625" customWidth="1"/>
    <col min="3845" max="3845" width="12.5703125" customWidth="1"/>
    <col min="3846" max="3846" width="13.42578125" customWidth="1"/>
    <col min="3847" max="3847" width="11.7109375" customWidth="1"/>
    <col min="3849" max="3849" width="11.85546875" customWidth="1"/>
    <col min="3850" max="3850" width="12.85546875" customWidth="1"/>
    <col min="4097" max="4097" width="38.42578125" customWidth="1"/>
    <col min="4098" max="4098" width="10" customWidth="1"/>
    <col min="4099" max="4099" width="11.7109375" customWidth="1"/>
    <col min="4100" max="4100" width="13.140625" customWidth="1"/>
    <col min="4101" max="4101" width="12.5703125" customWidth="1"/>
    <col min="4102" max="4102" width="13.42578125" customWidth="1"/>
    <col min="4103" max="4103" width="11.7109375" customWidth="1"/>
    <col min="4105" max="4105" width="11.85546875" customWidth="1"/>
    <col min="4106" max="4106" width="12.85546875" customWidth="1"/>
    <col min="4353" max="4353" width="38.42578125" customWidth="1"/>
    <col min="4354" max="4354" width="10" customWidth="1"/>
    <col min="4355" max="4355" width="11.7109375" customWidth="1"/>
    <col min="4356" max="4356" width="13.140625" customWidth="1"/>
    <col min="4357" max="4357" width="12.5703125" customWidth="1"/>
    <col min="4358" max="4358" width="13.42578125" customWidth="1"/>
    <col min="4359" max="4359" width="11.7109375" customWidth="1"/>
    <col min="4361" max="4361" width="11.85546875" customWidth="1"/>
    <col min="4362" max="4362" width="12.85546875" customWidth="1"/>
    <col min="4609" max="4609" width="38.42578125" customWidth="1"/>
    <col min="4610" max="4610" width="10" customWidth="1"/>
    <col min="4611" max="4611" width="11.7109375" customWidth="1"/>
    <col min="4612" max="4612" width="13.140625" customWidth="1"/>
    <col min="4613" max="4613" width="12.5703125" customWidth="1"/>
    <col min="4614" max="4614" width="13.42578125" customWidth="1"/>
    <col min="4615" max="4615" width="11.7109375" customWidth="1"/>
    <col min="4617" max="4617" width="11.85546875" customWidth="1"/>
    <col min="4618" max="4618" width="12.85546875" customWidth="1"/>
    <col min="4865" max="4865" width="38.42578125" customWidth="1"/>
    <col min="4866" max="4866" width="10" customWidth="1"/>
    <col min="4867" max="4867" width="11.7109375" customWidth="1"/>
    <col min="4868" max="4868" width="13.140625" customWidth="1"/>
    <col min="4869" max="4869" width="12.5703125" customWidth="1"/>
    <col min="4870" max="4870" width="13.42578125" customWidth="1"/>
    <col min="4871" max="4871" width="11.7109375" customWidth="1"/>
    <col min="4873" max="4873" width="11.85546875" customWidth="1"/>
    <col min="4874" max="4874" width="12.85546875" customWidth="1"/>
    <col min="5121" max="5121" width="38.42578125" customWidth="1"/>
    <col min="5122" max="5122" width="10" customWidth="1"/>
    <col min="5123" max="5123" width="11.7109375" customWidth="1"/>
    <col min="5124" max="5124" width="13.140625" customWidth="1"/>
    <col min="5125" max="5125" width="12.5703125" customWidth="1"/>
    <col min="5126" max="5126" width="13.42578125" customWidth="1"/>
    <col min="5127" max="5127" width="11.7109375" customWidth="1"/>
    <col min="5129" max="5129" width="11.85546875" customWidth="1"/>
    <col min="5130" max="5130" width="12.85546875" customWidth="1"/>
    <col min="5377" max="5377" width="38.42578125" customWidth="1"/>
    <col min="5378" max="5378" width="10" customWidth="1"/>
    <col min="5379" max="5379" width="11.7109375" customWidth="1"/>
    <col min="5380" max="5380" width="13.140625" customWidth="1"/>
    <col min="5381" max="5381" width="12.5703125" customWidth="1"/>
    <col min="5382" max="5382" width="13.42578125" customWidth="1"/>
    <col min="5383" max="5383" width="11.7109375" customWidth="1"/>
    <col min="5385" max="5385" width="11.85546875" customWidth="1"/>
    <col min="5386" max="5386" width="12.85546875" customWidth="1"/>
    <col min="5633" max="5633" width="38.42578125" customWidth="1"/>
    <col min="5634" max="5634" width="10" customWidth="1"/>
    <col min="5635" max="5635" width="11.7109375" customWidth="1"/>
    <col min="5636" max="5636" width="13.140625" customWidth="1"/>
    <col min="5637" max="5637" width="12.5703125" customWidth="1"/>
    <col min="5638" max="5638" width="13.42578125" customWidth="1"/>
    <col min="5639" max="5639" width="11.7109375" customWidth="1"/>
    <col min="5641" max="5641" width="11.85546875" customWidth="1"/>
    <col min="5642" max="5642" width="12.85546875" customWidth="1"/>
    <col min="5889" max="5889" width="38.42578125" customWidth="1"/>
    <col min="5890" max="5890" width="10" customWidth="1"/>
    <col min="5891" max="5891" width="11.7109375" customWidth="1"/>
    <col min="5892" max="5892" width="13.140625" customWidth="1"/>
    <col min="5893" max="5893" width="12.5703125" customWidth="1"/>
    <col min="5894" max="5894" width="13.42578125" customWidth="1"/>
    <col min="5895" max="5895" width="11.7109375" customWidth="1"/>
    <col min="5897" max="5897" width="11.85546875" customWidth="1"/>
    <col min="5898" max="5898" width="12.85546875" customWidth="1"/>
    <col min="6145" max="6145" width="38.42578125" customWidth="1"/>
    <col min="6146" max="6146" width="10" customWidth="1"/>
    <col min="6147" max="6147" width="11.7109375" customWidth="1"/>
    <col min="6148" max="6148" width="13.140625" customWidth="1"/>
    <col min="6149" max="6149" width="12.5703125" customWidth="1"/>
    <col min="6150" max="6150" width="13.42578125" customWidth="1"/>
    <col min="6151" max="6151" width="11.7109375" customWidth="1"/>
    <col min="6153" max="6153" width="11.85546875" customWidth="1"/>
    <col min="6154" max="6154" width="12.85546875" customWidth="1"/>
    <col min="6401" max="6401" width="38.42578125" customWidth="1"/>
    <col min="6402" max="6402" width="10" customWidth="1"/>
    <col min="6403" max="6403" width="11.7109375" customWidth="1"/>
    <col min="6404" max="6404" width="13.140625" customWidth="1"/>
    <col min="6405" max="6405" width="12.5703125" customWidth="1"/>
    <col min="6406" max="6406" width="13.42578125" customWidth="1"/>
    <col min="6407" max="6407" width="11.7109375" customWidth="1"/>
    <col min="6409" max="6409" width="11.85546875" customWidth="1"/>
    <col min="6410" max="6410" width="12.85546875" customWidth="1"/>
    <col min="6657" max="6657" width="38.42578125" customWidth="1"/>
    <col min="6658" max="6658" width="10" customWidth="1"/>
    <col min="6659" max="6659" width="11.7109375" customWidth="1"/>
    <col min="6660" max="6660" width="13.140625" customWidth="1"/>
    <col min="6661" max="6661" width="12.5703125" customWidth="1"/>
    <col min="6662" max="6662" width="13.42578125" customWidth="1"/>
    <col min="6663" max="6663" width="11.7109375" customWidth="1"/>
    <col min="6665" max="6665" width="11.85546875" customWidth="1"/>
    <col min="6666" max="6666" width="12.85546875" customWidth="1"/>
    <col min="6913" max="6913" width="38.42578125" customWidth="1"/>
    <col min="6914" max="6914" width="10" customWidth="1"/>
    <col min="6915" max="6915" width="11.7109375" customWidth="1"/>
    <col min="6916" max="6916" width="13.140625" customWidth="1"/>
    <col min="6917" max="6917" width="12.5703125" customWidth="1"/>
    <col min="6918" max="6918" width="13.42578125" customWidth="1"/>
    <col min="6919" max="6919" width="11.7109375" customWidth="1"/>
    <col min="6921" max="6921" width="11.85546875" customWidth="1"/>
    <col min="6922" max="6922" width="12.85546875" customWidth="1"/>
    <col min="7169" max="7169" width="38.42578125" customWidth="1"/>
    <col min="7170" max="7170" width="10" customWidth="1"/>
    <col min="7171" max="7171" width="11.7109375" customWidth="1"/>
    <col min="7172" max="7172" width="13.140625" customWidth="1"/>
    <col min="7173" max="7173" width="12.5703125" customWidth="1"/>
    <col min="7174" max="7174" width="13.42578125" customWidth="1"/>
    <col min="7175" max="7175" width="11.7109375" customWidth="1"/>
    <col min="7177" max="7177" width="11.85546875" customWidth="1"/>
    <col min="7178" max="7178" width="12.85546875" customWidth="1"/>
    <col min="7425" max="7425" width="38.42578125" customWidth="1"/>
    <col min="7426" max="7426" width="10" customWidth="1"/>
    <col min="7427" max="7427" width="11.7109375" customWidth="1"/>
    <col min="7428" max="7428" width="13.140625" customWidth="1"/>
    <col min="7429" max="7429" width="12.5703125" customWidth="1"/>
    <col min="7430" max="7430" width="13.42578125" customWidth="1"/>
    <col min="7431" max="7431" width="11.7109375" customWidth="1"/>
    <col min="7433" max="7433" width="11.85546875" customWidth="1"/>
    <col min="7434" max="7434" width="12.85546875" customWidth="1"/>
    <col min="7681" max="7681" width="38.42578125" customWidth="1"/>
    <col min="7682" max="7682" width="10" customWidth="1"/>
    <col min="7683" max="7683" width="11.7109375" customWidth="1"/>
    <col min="7684" max="7684" width="13.140625" customWidth="1"/>
    <col min="7685" max="7685" width="12.5703125" customWidth="1"/>
    <col min="7686" max="7686" width="13.42578125" customWidth="1"/>
    <col min="7687" max="7687" width="11.7109375" customWidth="1"/>
    <col min="7689" max="7689" width="11.85546875" customWidth="1"/>
    <col min="7690" max="7690" width="12.85546875" customWidth="1"/>
    <col min="7937" max="7937" width="38.42578125" customWidth="1"/>
    <col min="7938" max="7938" width="10" customWidth="1"/>
    <col min="7939" max="7939" width="11.7109375" customWidth="1"/>
    <col min="7940" max="7940" width="13.140625" customWidth="1"/>
    <col min="7941" max="7941" width="12.5703125" customWidth="1"/>
    <col min="7942" max="7942" width="13.42578125" customWidth="1"/>
    <col min="7943" max="7943" width="11.7109375" customWidth="1"/>
    <col min="7945" max="7945" width="11.85546875" customWidth="1"/>
    <col min="7946" max="7946" width="12.85546875" customWidth="1"/>
    <col min="8193" max="8193" width="38.42578125" customWidth="1"/>
    <col min="8194" max="8194" width="10" customWidth="1"/>
    <col min="8195" max="8195" width="11.7109375" customWidth="1"/>
    <col min="8196" max="8196" width="13.140625" customWidth="1"/>
    <col min="8197" max="8197" width="12.5703125" customWidth="1"/>
    <col min="8198" max="8198" width="13.42578125" customWidth="1"/>
    <col min="8199" max="8199" width="11.7109375" customWidth="1"/>
    <col min="8201" max="8201" width="11.85546875" customWidth="1"/>
    <col min="8202" max="8202" width="12.85546875" customWidth="1"/>
    <col min="8449" max="8449" width="38.42578125" customWidth="1"/>
    <col min="8450" max="8450" width="10" customWidth="1"/>
    <col min="8451" max="8451" width="11.7109375" customWidth="1"/>
    <col min="8452" max="8452" width="13.140625" customWidth="1"/>
    <col min="8453" max="8453" width="12.5703125" customWidth="1"/>
    <col min="8454" max="8454" width="13.42578125" customWidth="1"/>
    <col min="8455" max="8455" width="11.7109375" customWidth="1"/>
    <col min="8457" max="8457" width="11.85546875" customWidth="1"/>
    <col min="8458" max="8458" width="12.85546875" customWidth="1"/>
    <col min="8705" max="8705" width="38.42578125" customWidth="1"/>
    <col min="8706" max="8706" width="10" customWidth="1"/>
    <col min="8707" max="8707" width="11.7109375" customWidth="1"/>
    <col min="8708" max="8708" width="13.140625" customWidth="1"/>
    <col min="8709" max="8709" width="12.5703125" customWidth="1"/>
    <col min="8710" max="8710" width="13.42578125" customWidth="1"/>
    <col min="8711" max="8711" width="11.7109375" customWidth="1"/>
    <col min="8713" max="8713" width="11.85546875" customWidth="1"/>
    <col min="8714" max="8714" width="12.85546875" customWidth="1"/>
    <col min="8961" max="8961" width="38.42578125" customWidth="1"/>
    <col min="8962" max="8962" width="10" customWidth="1"/>
    <col min="8963" max="8963" width="11.7109375" customWidth="1"/>
    <col min="8964" max="8964" width="13.140625" customWidth="1"/>
    <col min="8965" max="8965" width="12.5703125" customWidth="1"/>
    <col min="8966" max="8966" width="13.42578125" customWidth="1"/>
    <col min="8967" max="8967" width="11.7109375" customWidth="1"/>
    <col min="8969" max="8969" width="11.85546875" customWidth="1"/>
    <col min="8970" max="8970" width="12.85546875" customWidth="1"/>
    <col min="9217" max="9217" width="38.42578125" customWidth="1"/>
    <col min="9218" max="9218" width="10" customWidth="1"/>
    <col min="9219" max="9219" width="11.7109375" customWidth="1"/>
    <col min="9220" max="9220" width="13.140625" customWidth="1"/>
    <col min="9221" max="9221" width="12.5703125" customWidth="1"/>
    <col min="9222" max="9222" width="13.42578125" customWidth="1"/>
    <col min="9223" max="9223" width="11.7109375" customWidth="1"/>
    <col min="9225" max="9225" width="11.85546875" customWidth="1"/>
    <col min="9226" max="9226" width="12.85546875" customWidth="1"/>
    <col min="9473" max="9473" width="38.42578125" customWidth="1"/>
    <col min="9474" max="9474" width="10" customWidth="1"/>
    <col min="9475" max="9475" width="11.7109375" customWidth="1"/>
    <col min="9476" max="9476" width="13.140625" customWidth="1"/>
    <col min="9477" max="9477" width="12.5703125" customWidth="1"/>
    <col min="9478" max="9478" width="13.42578125" customWidth="1"/>
    <col min="9479" max="9479" width="11.7109375" customWidth="1"/>
    <col min="9481" max="9481" width="11.85546875" customWidth="1"/>
    <col min="9482" max="9482" width="12.85546875" customWidth="1"/>
    <col min="9729" max="9729" width="38.42578125" customWidth="1"/>
    <col min="9730" max="9730" width="10" customWidth="1"/>
    <col min="9731" max="9731" width="11.7109375" customWidth="1"/>
    <col min="9732" max="9732" width="13.140625" customWidth="1"/>
    <col min="9733" max="9733" width="12.5703125" customWidth="1"/>
    <col min="9734" max="9734" width="13.42578125" customWidth="1"/>
    <col min="9735" max="9735" width="11.7109375" customWidth="1"/>
    <col min="9737" max="9737" width="11.85546875" customWidth="1"/>
    <col min="9738" max="9738" width="12.85546875" customWidth="1"/>
    <col min="9985" max="9985" width="38.42578125" customWidth="1"/>
    <col min="9986" max="9986" width="10" customWidth="1"/>
    <col min="9987" max="9987" width="11.7109375" customWidth="1"/>
    <col min="9988" max="9988" width="13.140625" customWidth="1"/>
    <col min="9989" max="9989" width="12.5703125" customWidth="1"/>
    <col min="9990" max="9990" width="13.42578125" customWidth="1"/>
    <col min="9991" max="9991" width="11.7109375" customWidth="1"/>
    <col min="9993" max="9993" width="11.85546875" customWidth="1"/>
    <col min="9994" max="9994" width="12.85546875" customWidth="1"/>
    <col min="10241" max="10241" width="38.42578125" customWidth="1"/>
    <col min="10242" max="10242" width="10" customWidth="1"/>
    <col min="10243" max="10243" width="11.7109375" customWidth="1"/>
    <col min="10244" max="10244" width="13.140625" customWidth="1"/>
    <col min="10245" max="10245" width="12.5703125" customWidth="1"/>
    <col min="10246" max="10246" width="13.42578125" customWidth="1"/>
    <col min="10247" max="10247" width="11.7109375" customWidth="1"/>
    <col min="10249" max="10249" width="11.85546875" customWidth="1"/>
    <col min="10250" max="10250" width="12.85546875" customWidth="1"/>
    <col min="10497" max="10497" width="38.42578125" customWidth="1"/>
    <col min="10498" max="10498" width="10" customWidth="1"/>
    <col min="10499" max="10499" width="11.7109375" customWidth="1"/>
    <col min="10500" max="10500" width="13.140625" customWidth="1"/>
    <col min="10501" max="10501" width="12.5703125" customWidth="1"/>
    <col min="10502" max="10502" width="13.42578125" customWidth="1"/>
    <col min="10503" max="10503" width="11.7109375" customWidth="1"/>
    <col min="10505" max="10505" width="11.85546875" customWidth="1"/>
    <col min="10506" max="10506" width="12.85546875" customWidth="1"/>
    <col min="10753" max="10753" width="38.42578125" customWidth="1"/>
    <col min="10754" max="10754" width="10" customWidth="1"/>
    <col min="10755" max="10755" width="11.7109375" customWidth="1"/>
    <col min="10756" max="10756" width="13.140625" customWidth="1"/>
    <col min="10757" max="10757" width="12.5703125" customWidth="1"/>
    <col min="10758" max="10758" width="13.42578125" customWidth="1"/>
    <col min="10759" max="10759" width="11.7109375" customWidth="1"/>
    <col min="10761" max="10761" width="11.85546875" customWidth="1"/>
    <col min="10762" max="10762" width="12.85546875" customWidth="1"/>
    <col min="11009" max="11009" width="38.42578125" customWidth="1"/>
    <col min="11010" max="11010" width="10" customWidth="1"/>
    <col min="11011" max="11011" width="11.7109375" customWidth="1"/>
    <col min="11012" max="11012" width="13.140625" customWidth="1"/>
    <col min="11013" max="11013" width="12.5703125" customWidth="1"/>
    <col min="11014" max="11014" width="13.42578125" customWidth="1"/>
    <col min="11015" max="11015" width="11.7109375" customWidth="1"/>
    <col min="11017" max="11017" width="11.85546875" customWidth="1"/>
    <col min="11018" max="11018" width="12.85546875" customWidth="1"/>
    <col min="11265" max="11265" width="38.42578125" customWidth="1"/>
    <col min="11266" max="11266" width="10" customWidth="1"/>
    <col min="11267" max="11267" width="11.7109375" customWidth="1"/>
    <col min="11268" max="11268" width="13.140625" customWidth="1"/>
    <col min="11269" max="11269" width="12.5703125" customWidth="1"/>
    <col min="11270" max="11270" width="13.42578125" customWidth="1"/>
    <col min="11271" max="11271" width="11.7109375" customWidth="1"/>
    <col min="11273" max="11273" width="11.85546875" customWidth="1"/>
    <col min="11274" max="11274" width="12.85546875" customWidth="1"/>
    <col min="11521" max="11521" width="38.42578125" customWidth="1"/>
    <col min="11522" max="11522" width="10" customWidth="1"/>
    <col min="11523" max="11523" width="11.7109375" customWidth="1"/>
    <col min="11524" max="11524" width="13.140625" customWidth="1"/>
    <col min="11525" max="11525" width="12.5703125" customWidth="1"/>
    <col min="11526" max="11526" width="13.42578125" customWidth="1"/>
    <col min="11527" max="11527" width="11.7109375" customWidth="1"/>
    <col min="11529" max="11529" width="11.85546875" customWidth="1"/>
    <col min="11530" max="11530" width="12.85546875" customWidth="1"/>
    <col min="11777" max="11777" width="38.42578125" customWidth="1"/>
    <col min="11778" max="11778" width="10" customWidth="1"/>
    <col min="11779" max="11779" width="11.7109375" customWidth="1"/>
    <col min="11780" max="11780" width="13.140625" customWidth="1"/>
    <col min="11781" max="11781" width="12.5703125" customWidth="1"/>
    <col min="11782" max="11782" width="13.42578125" customWidth="1"/>
    <col min="11783" max="11783" width="11.7109375" customWidth="1"/>
    <col min="11785" max="11785" width="11.85546875" customWidth="1"/>
    <col min="11786" max="11786" width="12.85546875" customWidth="1"/>
    <col min="12033" max="12033" width="38.42578125" customWidth="1"/>
    <col min="12034" max="12034" width="10" customWidth="1"/>
    <col min="12035" max="12035" width="11.7109375" customWidth="1"/>
    <col min="12036" max="12036" width="13.140625" customWidth="1"/>
    <col min="12037" max="12037" width="12.5703125" customWidth="1"/>
    <col min="12038" max="12038" width="13.42578125" customWidth="1"/>
    <col min="12039" max="12039" width="11.7109375" customWidth="1"/>
    <col min="12041" max="12041" width="11.85546875" customWidth="1"/>
    <col min="12042" max="12042" width="12.85546875" customWidth="1"/>
    <col min="12289" max="12289" width="38.42578125" customWidth="1"/>
    <col min="12290" max="12290" width="10" customWidth="1"/>
    <col min="12291" max="12291" width="11.7109375" customWidth="1"/>
    <col min="12292" max="12292" width="13.140625" customWidth="1"/>
    <col min="12293" max="12293" width="12.5703125" customWidth="1"/>
    <col min="12294" max="12294" width="13.42578125" customWidth="1"/>
    <col min="12295" max="12295" width="11.7109375" customWidth="1"/>
    <col min="12297" max="12297" width="11.85546875" customWidth="1"/>
    <col min="12298" max="12298" width="12.85546875" customWidth="1"/>
    <col min="12545" max="12545" width="38.42578125" customWidth="1"/>
    <col min="12546" max="12546" width="10" customWidth="1"/>
    <col min="12547" max="12547" width="11.7109375" customWidth="1"/>
    <col min="12548" max="12548" width="13.140625" customWidth="1"/>
    <col min="12549" max="12549" width="12.5703125" customWidth="1"/>
    <col min="12550" max="12550" width="13.42578125" customWidth="1"/>
    <col min="12551" max="12551" width="11.7109375" customWidth="1"/>
    <col min="12553" max="12553" width="11.85546875" customWidth="1"/>
    <col min="12554" max="12554" width="12.85546875" customWidth="1"/>
    <col min="12801" max="12801" width="38.42578125" customWidth="1"/>
    <col min="12802" max="12802" width="10" customWidth="1"/>
    <col min="12803" max="12803" width="11.7109375" customWidth="1"/>
    <col min="12804" max="12804" width="13.140625" customWidth="1"/>
    <col min="12805" max="12805" width="12.5703125" customWidth="1"/>
    <col min="12806" max="12806" width="13.42578125" customWidth="1"/>
    <col min="12807" max="12807" width="11.7109375" customWidth="1"/>
    <col min="12809" max="12809" width="11.85546875" customWidth="1"/>
    <col min="12810" max="12810" width="12.85546875" customWidth="1"/>
    <col min="13057" max="13057" width="38.42578125" customWidth="1"/>
    <col min="13058" max="13058" width="10" customWidth="1"/>
    <col min="13059" max="13059" width="11.7109375" customWidth="1"/>
    <col min="13060" max="13060" width="13.140625" customWidth="1"/>
    <col min="13061" max="13061" width="12.5703125" customWidth="1"/>
    <col min="13062" max="13062" width="13.42578125" customWidth="1"/>
    <col min="13063" max="13063" width="11.7109375" customWidth="1"/>
    <col min="13065" max="13065" width="11.85546875" customWidth="1"/>
    <col min="13066" max="13066" width="12.85546875" customWidth="1"/>
    <col min="13313" max="13313" width="38.42578125" customWidth="1"/>
    <col min="13314" max="13314" width="10" customWidth="1"/>
    <col min="13315" max="13315" width="11.7109375" customWidth="1"/>
    <col min="13316" max="13316" width="13.140625" customWidth="1"/>
    <col min="13317" max="13317" width="12.5703125" customWidth="1"/>
    <col min="13318" max="13318" width="13.42578125" customWidth="1"/>
    <col min="13319" max="13319" width="11.7109375" customWidth="1"/>
    <col min="13321" max="13321" width="11.85546875" customWidth="1"/>
    <col min="13322" max="13322" width="12.85546875" customWidth="1"/>
    <col min="13569" max="13569" width="38.42578125" customWidth="1"/>
    <col min="13570" max="13570" width="10" customWidth="1"/>
    <col min="13571" max="13571" width="11.7109375" customWidth="1"/>
    <col min="13572" max="13572" width="13.140625" customWidth="1"/>
    <col min="13573" max="13573" width="12.5703125" customWidth="1"/>
    <col min="13574" max="13574" width="13.42578125" customWidth="1"/>
    <col min="13575" max="13575" width="11.7109375" customWidth="1"/>
    <col min="13577" max="13577" width="11.85546875" customWidth="1"/>
    <col min="13578" max="13578" width="12.85546875" customWidth="1"/>
    <col min="13825" max="13825" width="38.42578125" customWidth="1"/>
    <col min="13826" max="13826" width="10" customWidth="1"/>
    <col min="13827" max="13827" width="11.7109375" customWidth="1"/>
    <col min="13828" max="13828" width="13.140625" customWidth="1"/>
    <col min="13829" max="13829" width="12.5703125" customWidth="1"/>
    <col min="13830" max="13830" width="13.42578125" customWidth="1"/>
    <col min="13831" max="13831" width="11.7109375" customWidth="1"/>
    <col min="13833" max="13833" width="11.85546875" customWidth="1"/>
    <col min="13834" max="13834" width="12.85546875" customWidth="1"/>
    <col min="14081" max="14081" width="38.42578125" customWidth="1"/>
    <col min="14082" max="14082" width="10" customWidth="1"/>
    <col min="14083" max="14083" width="11.7109375" customWidth="1"/>
    <col min="14084" max="14084" width="13.140625" customWidth="1"/>
    <col min="14085" max="14085" width="12.5703125" customWidth="1"/>
    <col min="14086" max="14086" width="13.42578125" customWidth="1"/>
    <col min="14087" max="14087" width="11.7109375" customWidth="1"/>
    <col min="14089" max="14089" width="11.85546875" customWidth="1"/>
    <col min="14090" max="14090" width="12.85546875" customWidth="1"/>
    <col min="14337" max="14337" width="38.42578125" customWidth="1"/>
    <col min="14338" max="14338" width="10" customWidth="1"/>
    <col min="14339" max="14339" width="11.7109375" customWidth="1"/>
    <col min="14340" max="14340" width="13.140625" customWidth="1"/>
    <col min="14341" max="14341" width="12.5703125" customWidth="1"/>
    <col min="14342" max="14342" width="13.42578125" customWidth="1"/>
    <col min="14343" max="14343" width="11.7109375" customWidth="1"/>
    <col min="14345" max="14345" width="11.85546875" customWidth="1"/>
    <col min="14346" max="14346" width="12.85546875" customWidth="1"/>
    <col min="14593" max="14593" width="38.42578125" customWidth="1"/>
    <col min="14594" max="14594" width="10" customWidth="1"/>
    <col min="14595" max="14595" width="11.7109375" customWidth="1"/>
    <col min="14596" max="14596" width="13.140625" customWidth="1"/>
    <col min="14597" max="14597" width="12.5703125" customWidth="1"/>
    <col min="14598" max="14598" width="13.42578125" customWidth="1"/>
    <col min="14599" max="14599" width="11.7109375" customWidth="1"/>
    <col min="14601" max="14601" width="11.85546875" customWidth="1"/>
    <col min="14602" max="14602" width="12.85546875" customWidth="1"/>
    <col min="14849" max="14849" width="38.42578125" customWidth="1"/>
    <col min="14850" max="14850" width="10" customWidth="1"/>
    <col min="14851" max="14851" width="11.7109375" customWidth="1"/>
    <col min="14852" max="14852" width="13.140625" customWidth="1"/>
    <col min="14853" max="14853" width="12.5703125" customWidth="1"/>
    <col min="14854" max="14854" width="13.42578125" customWidth="1"/>
    <col min="14855" max="14855" width="11.7109375" customWidth="1"/>
    <col min="14857" max="14857" width="11.85546875" customWidth="1"/>
    <col min="14858" max="14858" width="12.85546875" customWidth="1"/>
    <col min="15105" max="15105" width="38.42578125" customWidth="1"/>
    <col min="15106" max="15106" width="10" customWidth="1"/>
    <col min="15107" max="15107" width="11.7109375" customWidth="1"/>
    <col min="15108" max="15108" width="13.140625" customWidth="1"/>
    <col min="15109" max="15109" width="12.5703125" customWidth="1"/>
    <col min="15110" max="15110" width="13.42578125" customWidth="1"/>
    <col min="15111" max="15111" width="11.7109375" customWidth="1"/>
    <col min="15113" max="15113" width="11.85546875" customWidth="1"/>
    <col min="15114" max="15114" width="12.85546875" customWidth="1"/>
    <col min="15361" max="15361" width="38.42578125" customWidth="1"/>
    <col min="15362" max="15362" width="10" customWidth="1"/>
    <col min="15363" max="15363" width="11.7109375" customWidth="1"/>
    <col min="15364" max="15364" width="13.140625" customWidth="1"/>
    <col min="15365" max="15365" width="12.5703125" customWidth="1"/>
    <col min="15366" max="15366" width="13.42578125" customWidth="1"/>
    <col min="15367" max="15367" width="11.7109375" customWidth="1"/>
    <col min="15369" max="15369" width="11.85546875" customWidth="1"/>
    <col min="15370" max="15370" width="12.85546875" customWidth="1"/>
    <col min="15617" max="15617" width="38.42578125" customWidth="1"/>
    <col min="15618" max="15618" width="10" customWidth="1"/>
    <col min="15619" max="15619" width="11.7109375" customWidth="1"/>
    <col min="15620" max="15620" width="13.140625" customWidth="1"/>
    <col min="15621" max="15621" width="12.5703125" customWidth="1"/>
    <col min="15622" max="15622" width="13.42578125" customWidth="1"/>
    <col min="15623" max="15623" width="11.7109375" customWidth="1"/>
    <col min="15625" max="15625" width="11.85546875" customWidth="1"/>
    <col min="15626" max="15626" width="12.85546875" customWidth="1"/>
    <col min="15873" max="15873" width="38.42578125" customWidth="1"/>
    <col min="15874" max="15874" width="10" customWidth="1"/>
    <col min="15875" max="15875" width="11.7109375" customWidth="1"/>
    <col min="15876" max="15876" width="13.140625" customWidth="1"/>
    <col min="15877" max="15877" width="12.5703125" customWidth="1"/>
    <col min="15878" max="15878" width="13.42578125" customWidth="1"/>
    <col min="15879" max="15879" width="11.7109375" customWidth="1"/>
    <col min="15881" max="15881" width="11.85546875" customWidth="1"/>
    <col min="15882" max="15882" width="12.85546875" customWidth="1"/>
    <col min="16129" max="16129" width="38.42578125" customWidth="1"/>
    <col min="16130" max="16130" width="10" customWidth="1"/>
    <col min="16131" max="16131" width="11.7109375" customWidth="1"/>
    <col min="16132" max="16132" width="13.140625" customWidth="1"/>
    <col min="16133" max="16133" width="12.5703125" customWidth="1"/>
    <col min="16134" max="16134" width="13.42578125" customWidth="1"/>
    <col min="16135" max="16135" width="11.7109375" customWidth="1"/>
    <col min="16137" max="16137" width="11.85546875" customWidth="1"/>
    <col min="16138" max="16138" width="12.85546875" customWidth="1"/>
  </cols>
  <sheetData>
    <row r="1" spans="1:15" s="3" customFormat="1" ht="15.75" x14ac:dyDescent="0.25">
      <c r="A1" s="1"/>
      <c r="B1" s="2" t="s">
        <v>0</v>
      </c>
      <c r="C1" s="1"/>
      <c r="D1" s="1"/>
      <c r="E1" s="1"/>
      <c r="F1" s="1"/>
      <c r="G1" s="1"/>
    </row>
    <row r="2" spans="1:15" s="3" customFormat="1" ht="15.75" x14ac:dyDescent="0.25">
      <c r="A2" s="2" t="s">
        <v>1</v>
      </c>
      <c r="B2" s="1"/>
      <c r="C2" s="1"/>
      <c r="D2" s="1"/>
      <c r="E2" s="4" t="s">
        <v>2</v>
      </c>
      <c r="F2" s="1"/>
      <c r="G2" s="1"/>
    </row>
    <row r="3" spans="1:15" s="3" customFormat="1" ht="15.75" x14ac:dyDescent="0.25">
      <c r="A3" s="2"/>
      <c r="B3" s="1"/>
      <c r="C3" s="1"/>
      <c r="D3" s="1"/>
      <c r="E3" s="5"/>
      <c r="F3" s="1"/>
      <c r="G3" s="6" t="s">
        <v>3</v>
      </c>
    </row>
    <row r="4" spans="1:15" s="3" customFormat="1" x14ac:dyDescent="0.25">
      <c r="A4" s="7" t="s">
        <v>4</v>
      </c>
      <c r="B4" s="8"/>
      <c r="C4" s="8"/>
      <c r="D4" s="8"/>
      <c r="E4" s="8"/>
      <c r="F4" s="8"/>
      <c r="G4" s="9">
        <v>226</v>
      </c>
    </row>
    <row r="5" spans="1:15" s="3" customFormat="1" x14ac:dyDescent="0.25">
      <c r="A5" s="7" t="s">
        <v>5</v>
      </c>
      <c r="B5" s="8"/>
      <c r="C5" s="8"/>
      <c r="D5" s="8"/>
      <c r="E5" s="8"/>
      <c r="F5" s="8"/>
      <c r="G5" s="10" t="s">
        <v>6</v>
      </c>
    </row>
    <row r="6" spans="1:15" s="3" customFormat="1" x14ac:dyDescent="0.25">
      <c r="A6" s="7" t="s">
        <v>7</v>
      </c>
      <c r="B6" s="8"/>
      <c r="C6" s="8"/>
      <c r="D6" s="8"/>
      <c r="E6" s="8"/>
      <c r="F6" s="8"/>
      <c r="G6" s="10" t="s">
        <v>8</v>
      </c>
    </row>
    <row r="7" spans="1:15" s="3" customFormat="1" x14ac:dyDescent="0.25">
      <c r="A7" s="7" t="s">
        <v>9</v>
      </c>
      <c r="B7" s="8"/>
      <c r="C7" s="8"/>
      <c r="D7" s="8"/>
      <c r="E7" s="8"/>
      <c r="F7" s="8"/>
      <c r="G7" s="10" t="s">
        <v>10</v>
      </c>
    </row>
    <row r="8" spans="1:15" s="3" customFormat="1" x14ac:dyDescent="0.25">
      <c r="A8" s="7" t="s">
        <v>11</v>
      </c>
      <c r="B8" s="8"/>
      <c r="C8" s="8"/>
      <c r="D8" s="8"/>
      <c r="E8" s="8"/>
      <c r="F8" s="8"/>
      <c r="G8" s="11" t="s">
        <v>12</v>
      </c>
    </row>
    <row r="9" spans="1:15" s="3" customFormat="1" x14ac:dyDescent="0.25">
      <c r="A9" s="7" t="s">
        <v>13</v>
      </c>
      <c r="B9" s="8"/>
      <c r="C9" s="8"/>
      <c r="D9" s="8"/>
      <c r="E9" s="8"/>
      <c r="F9" s="8"/>
      <c r="G9" s="8"/>
    </row>
    <row r="10" spans="1:15" s="3" customFormat="1" x14ac:dyDescent="0.25">
      <c r="A10" s="12" t="s">
        <v>14</v>
      </c>
      <c r="B10" s="8"/>
      <c r="C10" s="8"/>
      <c r="D10" s="8"/>
      <c r="E10" s="8"/>
      <c r="F10" s="8"/>
      <c r="G10" s="8"/>
    </row>
    <row r="11" spans="1:15" s="3" customFormat="1" ht="19.5" customHeight="1" thickBot="1" x14ac:dyDescent="0.3">
      <c r="A11" s="7" t="s">
        <v>15</v>
      </c>
      <c r="B11" s="8"/>
      <c r="C11" s="8"/>
      <c r="D11" s="8"/>
      <c r="E11" s="8"/>
      <c r="F11" s="8"/>
      <c r="G11" s="8"/>
    </row>
    <row r="12" spans="1:15" s="13" customFormat="1" x14ac:dyDescent="0.25">
      <c r="A12" s="133" t="s">
        <v>16</v>
      </c>
      <c r="B12" s="131" t="s">
        <v>17</v>
      </c>
      <c r="C12" s="131" t="s">
        <v>18</v>
      </c>
      <c r="D12" s="131" t="s">
        <v>19</v>
      </c>
      <c r="E12" s="131" t="s">
        <v>20</v>
      </c>
      <c r="F12" s="131" t="s">
        <v>21</v>
      </c>
      <c r="G12" s="131" t="s">
        <v>22</v>
      </c>
    </row>
    <row r="13" spans="1:15" s="13" customFormat="1" x14ac:dyDescent="0.25">
      <c r="A13" s="134"/>
      <c r="B13" s="132"/>
      <c r="C13" s="132"/>
      <c r="D13" s="132"/>
      <c r="E13" s="132"/>
      <c r="F13" s="132"/>
      <c r="G13" s="132"/>
    </row>
    <row r="14" spans="1:15" s="13" customFormat="1" ht="15.75" thickBot="1" x14ac:dyDescent="0.3">
      <c r="A14" s="134"/>
      <c r="B14" s="132"/>
      <c r="C14" s="132"/>
      <c r="D14" s="132"/>
      <c r="E14" s="132"/>
      <c r="F14" s="132"/>
      <c r="G14" s="132"/>
      <c r="I14" s="127" t="s">
        <v>153</v>
      </c>
    </row>
    <row r="15" spans="1:15" ht="15.75" thickBot="1" x14ac:dyDescent="0.3">
      <c r="A15" s="14">
        <v>1</v>
      </c>
      <c r="B15" s="14">
        <v>2</v>
      </c>
      <c r="C15" s="15">
        <v>3</v>
      </c>
      <c r="D15" s="16">
        <v>4</v>
      </c>
      <c r="E15" s="16">
        <v>5</v>
      </c>
      <c r="F15" s="16">
        <v>6</v>
      </c>
      <c r="G15" s="17">
        <v>7</v>
      </c>
      <c r="H15" s="18"/>
      <c r="I15" s="18"/>
      <c r="J15" s="18"/>
      <c r="K15" s="18"/>
      <c r="L15" s="27" t="s">
        <v>162</v>
      </c>
      <c r="M15" s="27" t="s">
        <v>163</v>
      </c>
      <c r="N15" s="18"/>
      <c r="O15" s="18"/>
    </row>
    <row r="16" spans="1:15" ht="18.75" customHeight="1" thickBot="1" x14ac:dyDescent="0.3">
      <c r="A16" s="19" t="s">
        <v>23</v>
      </c>
      <c r="B16" s="19">
        <v>111</v>
      </c>
      <c r="C16" s="20">
        <f>1337778.3+215497.6-52034.7+29085.7-2964</f>
        <v>1527362.9000000001</v>
      </c>
      <c r="D16" s="20">
        <f>E16</f>
        <v>1203638.8999999999</v>
      </c>
      <c r="E16" s="20">
        <f>F16</f>
        <v>1203638.8999999999</v>
      </c>
      <c r="F16" s="21">
        <f>142378.2+119073.6+143286.4+55624-1596+154649.3-24986.3+131826.6+142451.6+74071.2+120124.1+13825.7-8640.3-906.3+142579.6-122.5</f>
        <v>1203638.8999999999</v>
      </c>
      <c r="G16" s="21">
        <f>140782.1+120669.7+198910.4-1596+154649.3-24986.3+131826.6+152451.6+74071.2+110124.1+13825.7-906.3+139293.6</f>
        <v>1209115.7</v>
      </c>
      <c r="H16" s="22">
        <f>F16-G16</f>
        <v>-5476.8000000000466</v>
      </c>
      <c r="I16" s="23">
        <f>G16*100/D43</f>
        <v>62.887134631129193</v>
      </c>
      <c r="J16" s="22"/>
      <c r="K16" s="22"/>
      <c r="L16" s="23">
        <f>F16+F17+F18+F19</f>
        <v>1380069.8</v>
      </c>
      <c r="M16" s="23">
        <f>F20+F21+F23</f>
        <v>124235.9</v>
      </c>
      <c r="N16" s="18"/>
      <c r="O16" s="18"/>
    </row>
    <row r="17" spans="1:15" ht="21" customHeight="1" thickBot="1" x14ac:dyDescent="0.3">
      <c r="A17" s="19" t="s">
        <v>24</v>
      </c>
      <c r="B17" s="19">
        <v>112</v>
      </c>
      <c r="C17" s="25">
        <f>205345.9+58801-100000+6000</f>
        <v>170146.90000000002</v>
      </c>
      <c r="D17" s="25">
        <v>89444.6</v>
      </c>
      <c r="E17" s="25">
        <v>89444.6</v>
      </c>
      <c r="F17" s="26">
        <f>89444.6</f>
        <v>89444.6</v>
      </c>
      <c r="G17" s="26">
        <f>78790.5+10654.1</f>
        <v>89444.6</v>
      </c>
      <c r="H17" s="23">
        <f t="shared" ref="H17:H24" si="0">F17-G17</f>
        <v>0</v>
      </c>
      <c r="I17" s="23">
        <f>G17*100/D44</f>
        <v>4.7988523692685794</v>
      </c>
      <c r="J17" s="24"/>
      <c r="K17" s="129" t="s">
        <v>155</v>
      </c>
      <c r="L17" s="23" t="s">
        <v>153</v>
      </c>
      <c r="M17" s="27"/>
      <c r="N17" s="18"/>
      <c r="O17" s="18"/>
    </row>
    <row r="18" spans="1:15" ht="22.5" customHeight="1" thickBot="1" x14ac:dyDescent="0.3">
      <c r="A18" s="19" t="s">
        <v>25</v>
      </c>
      <c r="B18" s="19">
        <v>113</v>
      </c>
      <c r="C18" s="25">
        <v>135978</v>
      </c>
      <c r="D18" s="25">
        <f>E18</f>
        <v>85957.5</v>
      </c>
      <c r="E18" s="25">
        <f>F18</f>
        <v>85957.5</v>
      </c>
      <c r="F18" s="26">
        <f>10604.6+8982+10520.4+9858.8+7228.5+20795.2+6474.3+11493.7</f>
        <v>85957.5</v>
      </c>
      <c r="G18" s="26">
        <f>10604.6+8982+10520.4+9858.8+7228.5+20795.2+6474.3+11493.7</f>
        <v>85957.5</v>
      </c>
      <c r="H18" s="22">
        <f t="shared" si="0"/>
        <v>0</v>
      </c>
      <c r="I18" s="23">
        <f>G18*100/D44</f>
        <v>4.611763622749768</v>
      </c>
      <c r="J18" s="24"/>
      <c r="K18" s="27" t="s">
        <v>160</v>
      </c>
      <c r="L18" s="128">
        <f>L16*100/D44/100</f>
        <v>0.74043052677143339</v>
      </c>
      <c r="M18" s="27"/>
      <c r="N18" s="18">
        <f>3850342+357303+2436186+2760916+5780408+3319963+3555136+2465546+2880628+1168002</f>
        <v>28574430</v>
      </c>
      <c r="O18" s="18"/>
    </row>
    <row r="19" spans="1:15" ht="29.25" customHeight="1" thickBot="1" x14ac:dyDescent="0.3">
      <c r="A19" s="19" t="s">
        <v>26</v>
      </c>
      <c r="B19" s="19">
        <v>114</v>
      </c>
      <c r="C19" s="25">
        <v>1465.2</v>
      </c>
      <c r="D19" s="25">
        <v>1028.8</v>
      </c>
      <c r="E19" s="25">
        <v>1028.8</v>
      </c>
      <c r="F19" s="26">
        <f>96.5+118.3+154.3+12.8+105.3+245.4+173.7+122.5</f>
        <v>1028.8</v>
      </c>
      <c r="G19" s="26">
        <f>F19</f>
        <v>1028.8</v>
      </c>
      <c r="H19" s="22">
        <f t="shared" si="0"/>
        <v>0</v>
      </c>
      <c r="I19" s="23"/>
      <c r="J19" s="24"/>
      <c r="K19" s="27" t="s">
        <v>161</v>
      </c>
      <c r="L19" s="128">
        <f>M16/D44</f>
        <v>6.6654637961734334E-2</v>
      </c>
      <c r="M19" s="27"/>
      <c r="N19" s="18"/>
      <c r="O19" s="18"/>
    </row>
    <row r="20" spans="1:15" ht="21.75" customHeight="1" thickBot="1" x14ac:dyDescent="0.3">
      <c r="A20" s="19" t="s">
        <v>27</v>
      </c>
      <c r="B20" s="19">
        <v>121</v>
      </c>
      <c r="C20" s="25">
        <v>97145</v>
      </c>
      <c r="D20" s="25">
        <f>E20</f>
        <v>63857.5</v>
      </c>
      <c r="E20" s="25">
        <f>F20</f>
        <v>63857.5</v>
      </c>
      <c r="F20" s="26">
        <f>7464.5+7239.5+8923.7+4560.7+6860.4+10220.6+3288.2+114.8+10000+5185.1</f>
        <v>63857.5</v>
      </c>
      <c r="G20" s="26">
        <f>7464.5+7239.5+13484.4+8786.3+8294.7+8388.2+4900+114.8+7069.9</f>
        <v>65742.299999999988</v>
      </c>
      <c r="H20" s="23">
        <f t="shared" si="0"/>
        <v>-1884.7999999999884</v>
      </c>
      <c r="I20" s="23">
        <f>G20*100/D44</f>
        <v>3.5271843366303353</v>
      </c>
      <c r="J20" s="24"/>
      <c r="K20" s="27" t="s">
        <v>156</v>
      </c>
      <c r="L20" s="128">
        <v>2.3E-2</v>
      </c>
      <c r="M20" s="27"/>
      <c r="N20" s="18"/>
      <c r="O20" s="18"/>
    </row>
    <row r="21" spans="1:15" ht="36.75" customHeight="1" thickBot="1" x14ac:dyDescent="0.3">
      <c r="A21" s="19" t="s">
        <v>28</v>
      </c>
      <c r="B21" s="19">
        <v>122</v>
      </c>
      <c r="C21" s="25">
        <v>47566</v>
      </c>
      <c r="D21" s="25">
        <f>E21</f>
        <v>30935.8</v>
      </c>
      <c r="E21" s="25">
        <f>F21</f>
        <v>30935.8</v>
      </c>
      <c r="F21" s="26">
        <f>3601.6+3355.7+3326.4+1646.8+3587.3+3615.3+4647.3+727.2-724.1+3164.2+722.3+3265.8</f>
        <v>30935.8</v>
      </c>
      <c r="G21" s="26">
        <f>3601.6+3355.7+3326.4+1646.8+3579.9+3622.7+2547.3+2100+727.25-724.1+3164.2+3988.1</f>
        <v>30935.85</v>
      </c>
      <c r="H21" s="23">
        <f t="shared" si="0"/>
        <v>-4.9999999999272404E-2</v>
      </c>
      <c r="I21" s="23">
        <f>F21*100/D44</f>
        <v>1.6597574043063408</v>
      </c>
      <c r="J21" s="24"/>
      <c r="K21" s="23" t="s">
        <v>164</v>
      </c>
      <c r="L21" s="128">
        <v>2.3E-2</v>
      </c>
      <c r="M21" s="27"/>
      <c r="N21" s="18"/>
      <c r="O21" s="18"/>
    </row>
    <row r="22" spans="1:15" ht="36.75" customHeight="1" thickBot="1" x14ac:dyDescent="0.3">
      <c r="A22" s="19" t="s">
        <v>29</v>
      </c>
      <c r="B22" s="19">
        <v>123</v>
      </c>
      <c r="C22" s="28"/>
      <c r="D22" s="28"/>
      <c r="E22" s="28"/>
      <c r="F22" s="28"/>
      <c r="G22" s="26"/>
      <c r="H22" s="23">
        <f t="shared" si="0"/>
        <v>0</v>
      </c>
      <c r="I22" s="23"/>
      <c r="J22" s="24"/>
      <c r="K22" s="23" t="s">
        <v>157</v>
      </c>
      <c r="L22" s="128">
        <v>2.3E-2</v>
      </c>
      <c r="M22" s="27"/>
      <c r="N22" s="18"/>
      <c r="O22" s="18"/>
    </row>
    <row r="23" spans="1:15" ht="36.75" customHeight="1" thickBot="1" x14ac:dyDescent="0.3">
      <c r="A23" s="19" t="s">
        <v>30</v>
      </c>
      <c r="B23" s="19">
        <v>124</v>
      </c>
      <c r="C23" s="25">
        <v>46016</v>
      </c>
      <c r="D23" s="25">
        <f t="shared" ref="D23:E25" si="1">E23</f>
        <v>29442.6</v>
      </c>
      <c r="E23" s="25">
        <f t="shared" si="1"/>
        <v>29442.6</v>
      </c>
      <c r="F23" s="28">
        <f>3438.4+3182.3+1670.7+3225.8+3444.8+3459.1+4587.2+3232.1+3202.2</f>
        <v>29442.6</v>
      </c>
      <c r="G23" s="26">
        <f>3432.4+3182.3+3225.8+1670.7+3444.2+3459.7+2693.2+1900+3048.8+3385.5</f>
        <v>29442.600000000002</v>
      </c>
      <c r="H23" s="23">
        <f t="shared" si="0"/>
        <v>0</v>
      </c>
      <c r="I23" s="23">
        <f>F23*100/D44</f>
        <v>1.5796447272102181</v>
      </c>
      <c r="J23" s="24"/>
      <c r="K23" s="23" t="s">
        <v>158</v>
      </c>
      <c r="L23" s="128">
        <v>2.3E-2</v>
      </c>
      <c r="M23" s="27"/>
      <c r="N23" s="18"/>
      <c r="O23" s="18"/>
    </row>
    <row r="24" spans="1:15" ht="27" customHeight="1" thickBot="1" x14ac:dyDescent="0.3">
      <c r="A24" s="19" t="s">
        <v>31</v>
      </c>
      <c r="B24" s="19">
        <v>141</v>
      </c>
      <c r="C24" s="25">
        <f>38640+15575.2</f>
        <v>54215.199999999997</v>
      </c>
      <c r="D24" s="25">
        <f t="shared" si="1"/>
        <v>20231.399999999998</v>
      </c>
      <c r="E24" s="25">
        <f t="shared" si="1"/>
        <v>20231.399999999998</v>
      </c>
      <c r="F24" s="26">
        <f>4402.4+5541.9+2666.9+7620.2</f>
        <v>20231.399999999998</v>
      </c>
      <c r="G24" s="26">
        <f>4402.3+4381.4+3827.5+1732.3+2962+2925.9+2912.2+3085.3</f>
        <v>26228.9</v>
      </c>
      <c r="H24" s="23">
        <f t="shared" si="0"/>
        <v>-5997.5000000000036</v>
      </c>
      <c r="I24" s="23">
        <f>F24*100/D44</f>
        <v>1.0854484432108851</v>
      </c>
      <c r="J24" s="24"/>
      <c r="K24" s="23" t="s">
        <v>159</v>
      </c>
      <c r="L24" s="128">
        <v>3.5999999999999997E-2</v>
      </c>
      <c r="M24" s="23"/>
      <c r="N24" s="18"/>
      <c r="O24" s="18"/>
    </row>
    <row r="25" spans="1:15" ht="26.25" customHeight="1" thickBot="1" x14ac:dyDescent="0.3">
      <c r="A25" s="19" t="s">
        <v>32</v>
      </c>
      <c r="B25" s="19">
        <v>142</v>
      </c>
      <c r="C25" s="25">
        <v>485035</v>
      </c>
      <c r="D25" s="25">
        <f t="shared" si="1"/>
        <v>254385.00000000003</v>
      </c>
      <c r="E25" s="25">
        <f t="shared" si="1"/>
        <v>254385.00000000003</v>
      </c>
      <c r="F25" s="26">
        <f>1069.2+23491.1+17207.3+1680.4+177277.1+71346.8-72689.1+63480-45785.6+28378.7-12500+979+450.1</f>
        <v>254385.00000000003</v>
      </c>
      <c r="G25" s="26">
        <f>35214.2+1460.5+34385.2+45217.5+55.2+40034.2+48359.4+1933.7+3.2+47559.2+55144.3+517.1+379.5+58316.3+85</f>
        <v>368664.49999999994</v>
      </c>
      <c r="H25" s="23">
        <f>G25-F25</f>
        <v>114279.49999999991</v>
      </c>
      <c r="I25" s="23">
        <f>F25*100/D44</f>
        <v>13.648180661061572</v>
      </c>
      <c r="J25" s="23"/>
      <c r="K25" s="23"/>
      <c r="L25" s="130">
        <f>SUM(L18:L24)</f>
        <v>0.93508516473316783</v>
      </c>
      <c r="M25" s="23"/>
      <c r="N25" s="18"/>
      <c r="O25" s="18"/>
    </row>
    <row r="26" spans="1:15" ht="26.25" customHeight="1" thickBot="1" x14ac:dyDescent="0.3">
      <c r="A26" s="19" t="s">
        <v>34</v>
      </c>
      <c r="B26" s="19">
        <v>144</v>
      </c>
      <c r="C26" s="26">
        <f>C27+C28</f>
        <v>3040.8</v>
      </c>
      <c r="D26" s="26">
        <f>D27+D28</f>
        <v>2912</v>
      </c>
      <c r="E26" s="26">
        <f>E27+E28</f>
        <v>2912</v>
      </c>
      <c r="F26" s="26">
        <f>F27+F28</f>
        <v>2912</v>
      </c>
      <c r="G26" s="26">
        <f>G27+G28</f>
        <v>2912</v>
      </c>
      <c r="H26" s="23">
        <f>F26-G26</f>
        <v>0</v>
      </c>
      <c r="I26" s="23">
        <f>F26*100/D44</f>
        <v>0.15623366977224007</v>
      </c>
      <c r="J26" s="24"/>
      <c r="K26" s="27"/>
      <c r="L26" s="27"/>
      <c r="M26" s="27"/>
      <c r="N26" s="18"/>
      <c r="O26" s="18"/>
    </row>
    <row r="27" spans="1:15" ht="26.25" customHeight="1" thickBot="1" x14ac:dyDescent="0.3">
      <c r="A27" s="29" t="s">
        <v>35</v>
      </c>
      <c r="B27" s="19"/>
      <c r="C27" s="30">
        <v>3040.8</v>
      </c>
      <c r="D27" s="30">
        <f>E27</f>
        <v>2912</v>
      </c>
      <c r="E27" s="30">
        <f>F27</f>
        <v>2912</v>
      </c>
      <c r="F27" s="31">
        <f>580.6+546+728+693.4+364</f>
        <v>2912</v>
      </c>
      <c r="G27" s="31">
        <f>517.4+609.2+1421.4-728+932+160</f>
        <v>2912</v>
      </c>
      <c r="H27" s="23">
        <f>F27-G27</f>
        <v>0</v>
      </c>
      <c r="I27" s="23"/>
      <c r="J27" s="23"/>
      <c r="K27" s="27"/>
      <c r="L27" s="27"/>
      <c r="M27" s="27"/>
      <c r="N27" s="18"/>
      <c r="O27" s="18"/>
    </row>
    <row r="28" spans="1:15" ht="26.25" customHeight="1" thickBot="1" x14ac:dyDescent="0.3">
      <c r="A28" s="29" t="s">
        <v>36</v>
      </c>
      <c r="B28" s="19"/>
      <c r="C28" s="30"/>
      <c r="D28" s="30"/>
      <c r="E28" s="30"/>
      <c r="F28" s="31"/>
      <c r="G28" s="31"/>
      <c r="H28" s="23">
        <f>F28-G28</f>
        <v>0</v>
      </c>
      <c r="I28" s="23"/>
      <c r="J28" s="27"/>
      <c r="K28" s="27"/>
      <c r="L28" s="27"/>
      <c r="M28" s="27"/>
      <c r="N28" s="18"/>
      <c r="O28" s="18"/>
    </row>
    <row r="29" spans="1:15" ht="24.75" customHeight="1" thickBot="1" x14ac:dyDescent="0.3">
      <c r="A29" s="19" t="s">
        <v>37</v>
      </c>
      <c r="B29" s="19">
        <v>149</v>
      </c>
      <c r="C29" s="25">
        <v>99252</v>
      </c>
      <c r="D29" s="25">
        <f>E29</f>
        <v>42511.100000000006</v>
      </c>
      <c r="E29" s="25">
        <f>F29</f>
        <v>42511.100000000006</v>
      </c>
      <c r="F29" s="26">
        <f>6355.1+2395.3+13332.5+915.5+401+142.5+236.7+87.9-593.1+4742.5+14495.2</f>
        <v>42511.100000000006</v>
      </c>
      <c r="G29" s="26">
        <f>827.1+579.1+1128.6+1159.9+2608.9+3321.7+3314.4+4081.4</f>
        <v>17021.099999999999</v>
      </c>
      <c r="H29" s="23">
        <f>F29-G29</f>
        <v>25490.000000000007</v>
      </c>
      <c r="I29" s="23">
        <f>F29*100/D44</f>
        <v>2.2807916068182266</v>
      </c>
      <c r="J29" s="23"/>
      <c r="K29" s="27"/>
      <c r="L29" s="27"/>
      <c r="M29" s="27"/>
      <c r="N29" s="18"/>
      <c r="O29" s="18"/>
    </row>
    <row r="30" spans="1:15" ht="27" customHeight="1" thickBot="1" x14ac:dyDescent="0.3">
      <c r="A30" s="19" t="s">
        <v>38</v>
      </c>
      <c r="B30" s="19">
        <v>151</v>
      </c>
      <c r="C30" s="25">
        <f>C31+C32+C34+C33</f>
        <v>45507.3</v>
      </c>
      <c r="D30" s="25">
        <f>D31+D32+D33+D34</f>
        <v>25181.4</v>
      </c>
      <c r="E30" s="25">
        <f>E31+E32+E34+E33</f>
        <v>25181.4</v>
      </c>
      <c r="F30" s="25">
        <f>F31+F32+F33+F34</f>
        <v>25181.4</v>
      </c>
      <c r="G30" s="25">
        <f>G31+G32+G34+G33</f>
        <v>25181.4</v>
      </c>
      <c r="H30" s="24"/>
      <c r="I30" s="23">
        <f>F30*100/D44</f>
        <v>1.3510242211547685</v>
      </c>
      <c r="J30" s="18"/>
      <c r="K30" s="23"/>
      <c r="L30" s="27"/>
      <c r="M30" s="27"/>
      <c r="N30" s="18"/>
      <c r="O30" s="18"/>
    </row>
    <row r="31" spans="1:15" ht="27" customHeight="1" thickBot="1" x14ac:dyDescent="0.3">
      <c r="A31" s="29" t="s">
        <v>39</v>
      </c>
      <c r="B31" s="19"/>
      <c r="C31" s="30">
        <v>10377.9</v>
      </c>
      <c r="D31" s="30">
        <f>E31</f>
        <v>6398.2</v>
      </c>
      <c r="E31" s="30">
        <f>F31</f>
        <v>6398.2</v>
      </c>
      <c r="F31" s="33">
        <f>2649.5+925.1+975.8+960+887.8</f>
        <v>6398.2</v>
      </c>
      <c r="G31" s="31">
        <f>864.8+880.4+904.3+1900.9+1847.8</f>
        <v>6398.2</v>
      </c>
      <c r="H31" s="23">
        <f>F31-G31</f>
        <v>0</v>
      </c>
      <c r="I31" s="23"/>
      <c r="J31" s="24"/>
      <c r="K31" s="27"/>
      <c r="L31" s="27"/>
      <c r="M31" s="27"/>
      <c r="N31" s="18"/>
      <c r="O31" s="18"/>
    </row>
    <row r="32" spans="1:15" ht="27" customHeight="1" thickBot="1" x14ac:dyDescent="0.3">
      <c r="A32" s="29" t="s">
        <v>40</v>
      </c>
      <c r="B32" s="19"/>
      <c r="C32" s="30">
        <v>26608.400000000001</v>
      </c>
      <c r="D32" s="30">
        <f>E32</f>
        <v>16661</v>
      </c>
      <c r="E32" s="30">
        <f>F32</f>
        <v>16661</v>
      </c>
      <c r="F32" s="33">
        <f>8559.2+2112.4+1683.5+2059.5+2246.4</f>
        <v>16661</v>
      </c>
      <c r="G32" s="31">
        <f>3050.7+3578.9+2129.3+3596.2+4305.9</f>
        <v>16661</v>
      </c>
      <c r="H32" s="23">
        <f>F32-G32</f>
        <v>0</v>
      </c>
      <c r="I32" s="23"/>
      <c r="J32" s="24"/>
      <c r="K32" s="18"/>
      <c r="L32" s="18"/>
      <c r="M32" s="18"/>
      <c r="N32" s="18"/>
      <c r="O32" s="18"/>
    </row>
    <row r="33" spans="1:15" ht="27" customHeight="1" thickBot="1" x14ac:dyDescent="0.3">
      <c r="A33" s="29" t="s">
        <v>41</v>
      </c>
      <c r="B33" s="19"/>
      <c r="C33" s="30">
        <v>3500</v>
      </c>
      <c r="D33" s="30"/>
      <c r="E33" s="30"/>
      <c r="F33" s="33"/>
      <c r="G33" s="31"/>
      <c r="H33" s="23">
        <f>F33-G33</f>
        <v>0</v>
      </c>
      <c r="I33" s="23"/>
      <c r="J33" s="24"/>
      <c r="K33" s="18"/>
      <c r="L33" s="18"/>
      <c r="M33" s="18"/>
      <c r="N33" s="18"/>
      <c r="O33" s="18"/>
    </row>
    <row r="34" spans="1:15" ht="22.5" customHeight="1" thickBot="1" x14ac:dyDescent="0.3">
      <c r="A34" s="29" t="s">
        <v>42</v>
      </c>
      <c r="B34" s="19"/>
      <c r="C34" s="30">
        <v>5021</v>
      </c>
      <c r="D34" s="30">
        <v>2122.1999999999998</v>
      </c>
      <c r="E34" s="30">
        <v>2122.1999999999998</v>
      </c>
      <c r="F34" s="33">
        <f>1268.1+669.2+120.6+64.3</f>
        <v>2122.2000000000003</v>
      </c>
      <c r="G34" s="31">
        <f>918.4+525.9+669.2+8.7</f>
        <v>2122.1999999999998</v>
      </c>
      <c r="H34" s="23">
        <f>G34-F34</f>
        <v>0</v>
      </c>
      <c r="I34" s="23"/>
      <c r="J34" s="22"/>
      <c r="K34" s="18"/>
      <c r="L34" s="18"/>
      <c r="M34" s="18"/>
      <c r="N34" s="18"/>
      <c r="O34" s="18"/>
    </row>
    <row r="35" spans="1:15" ht="24.75" customHeight="1" thickBot="1" x14ac:dyDescent="0.3">
      <c r="A35" s="19" t="s">
        <v>43</v>
      </c>
      <c r="B35" s="19">
        <v>152</v>
      </c>
      <c r="C35" s="25">
        <v>3790</v>
      </c>
      <c r="D35" s="25">
        <f>E35</f>
        <v>1199.5999999999997</v>
      </c>
      <c r="E35" s="25">
        <f>F35</f>
        <v>1199.5999999999997</v>
      </c>
      <c r="F35" s="34">
        <f>253+415.8+6.5+168.3+168.3+12.6+168.5+6.6</f>
        <v>1199.5999999999997</v>
      </c>
      <c r="G35" s="26">
        <f>247+234.3+168.3+374.9+175.1</f>
        <v>1199.5999999999999</v>
      </c>
      <c r="H35" s="23">
        <f>G35-F35</f>
        <v>0</v>
      </c>
      <c r="I35" s="23"/>
      <c r="J35" s="24"/>
      <c r="K35" s="18"/>
      <c r="L35" s="18"/>
      <c r="M35" s="18"/>
      <c r="N35" s="18"/>
      <c r="O35" s="18"/>
    </row>
    <row r="36" spans="1:15" s="40" customFormat="1" ht="15.75" thickBot="1" x14ac:dyDescent="0.3">
      <c r="A36" s="35" t="s">
        <v>44</v>
      </c>
      <c r="B36" s="35">
        <v>159</v>
      </c>
      <c r="C36" s="25">
        <f>161408.2+1576.4</f>
        <v>162984.6</v>
      </c>
      <c r="D36" s="25">
        <f>E36</f>
        <v>69007.5</v>
      </c>
      <c r="E36" s="25">
        <f>67037.4+1970.1</f>
        <v>69007.5</v>
      </c>
      <c r="F36" s="26">
        <f>15212.7+2621.6+25919.4+5579.63+572.7-384.4+13752+24331.6-1969.1-18597.7</f>
        <v>67038.429999999978</v>
      </c>
      <c r="G36" s="26">
        <f>408.7+1952+6462.6+1797.1+34.5+99.9+11.4+100.1+2323.2+26.954+80+537+377.1+2403.8+8+777.1+519.6+1495.8+76.8+2323.2+955.5+11.4+245.7+7660.1+404.8+645.2+18+214.4+1391.7+519.8+1074+20.2+48+90+2323.2+14405.6+7500.7+22972.9+15069.4+27408.5</f>
        <v>124793.95399999998</v>
      </c>
      <c r="H36" s="36">
        <f>F36-G36</f>
        <v>-57755.524000000005</v>
      </c>
      <c r="I36" s="23">
        <f>F36*100/D44</f>
        <v>3.5967238786639522</v>
      </c>
      <c r="J36" s="37"/>
      <c r="K36" s="38"/>
      <c r="L36" s="39"/>
      <c r="M36" s="39"/>
      <c r="N36" s="38"/>
      <c r="O36" s="38"/>
    </row>
    <row r="37" spans="1:15" ht="26.25" thickBot="1" x14ac:dyDescent="0.3">
      <c r="A37" s="41" t="s">
        <v>45</v>
      </c>
      <c r="B37" s="41">
        <v>161</v>
      </c>
      <c r="C37" s="25">
        <v>7200</v>
      </c>
      <c r="D37" s="25">
        <f>E37</f>
        <v>1232.9699999999998</v>
      </c>
      <c r="E37" s="25">
        <f>F37</f>
        <v>1232.9699999999998</v>
      </c>
      <c r="F37" s="26">
        <f>379.7+81.2-81.23+853.3</f>
        <v>1232.9699999999998</v>
      </c>
      <c r="G37" s="26">
        <f>13.8+268.2+97.7+81.2+1355.9</f>
        <v>1816.8000000000002</v>
      </c>
      <c r="H37" s="42">
        <f>G37-F37</f>
        <v>583.83000000000038</v>
      </c>
      <c r="I37" s="23"/>
      <c r="J37" s="23"/>
      <c r="K37" s="18"/>
      <c r="L37" s="18"/>
      <c r="M37" s="18"/>
      <c r="N37" s="18"/>
      <c r="O37" s="18"/>
    </row>
    <row r="38" spans="1:15" ht="16.5" hidden="1" customHeight="1" x14ac:dyDescent="0.25">
      <c r="A38" s="43" t="s">
        <v>46</v>
      </c>
      <c r="B38" s="44">
        <v>168</v>
      </c>
      <c r="C38" s="25"/>
      <c r="D38" s="25"/>
      <c r="E38" s="25"/>
      <c r="F38" s="31"/>
      <c r="G38" s="31"/>
      <c r="H38" s="45"/>
      <c r="I38" s="23"/>
      <c r="J38" s="24"/>
      <c r="K38" s="18"/>
      <c r="L38" s="18"/>
      <c r="M38" s="18"/>
      <c r="N38" s="18"/>
      <c r="O38" s="18"/>
    </row>
    <row r="39" spans="1:15" ht="22.5" customHeight="1" thickBot="1" x14ac:dyDescent="0.3">
      <c r="A39" s="46" t="s">
        <v>47</v>
      </c>
      <c r="B39" s="44">
        <v>169</v>
      </c>
      <c r="C39" s="25">
        <v>7320</v>
      </c>
      <c r="D39" s="25">
        <f>E39</f>
        <v>1709.1000000000001</v>
      </c>
      <c r="E39" s="25">
        <f>F39</f>
        <v>1709.1000000000001</v>
      </c>
      <c r="F39" s="26">
        <f>1643+63.2+2.9</f>
        <v>1709.1000000000001</v>
      </c>
      <c r="G39" s="26">
        <f>166.8+2.3+1473.9+63.2+2.9</f>
        <v>1709.1000000000001</v>
      </c>
      <c r="H39" s="23">
        <f>F39-G39</f>
        <v>0</v>
      </c>
      <c r="I39" s="23"/>
      <c r="J39" s="24"/>
      <c r="K39" s="18"/>
      <c r="L39" s="18"/>
      <c r="M39" s="18"/>
      <c r="N39" s="18"/>
      <c r="O39" s="18"/>
    </row>
    <row r="40" spans="1:15" ht="21" hidden="1" customHeight="1" x14ac:dyDescent="0.25">
      <c r="A40" s="44" t="s">
        <v>48</v>
      </c>
      <c r="B40" s="44">
        <v>332</v>
      </c>
      <c r="C40" s="30"/>
      <c r="D40" s="30"/>
      <c r="E40" s="30"/>
      <c r="F40" s="31"/>
      <c r="G40" s="31"/>
      <c r="H40" s="45"/>
      <c r="I40" s="23"/>
      <c r="J40" s="18"/>
      <c r="K40" s="18"/>
      <c r="L40" s="18"/>
      <c r="M40" s="18"/>
      <c r="N40" s="18"/>
      <c r="O40" s="18"/>
    </row>
    <row r="41" spans="1:15" ht="18" customHeight="1" thickBot="1" x14ac:dyDescent="0.3">
      <c r="A41" s="44"/>
      <c r="B41" s="19"/>
      <c r="C41" s="47"/>
      <c r="D41" s="47"/>
      <c r="E41" s="47"/>
      <c r="F41" s="31"/>
      <c r="G41" s="31"/>
      <c r="H41" s="23">
        <f>F41-G41</f>
        <v>0</v>
      </c>
      <c r="I41" s="23"/>
      <c r="J41" s="18"/>
      <c r="K41" s="18"/>
      <c r="L41" s="18"/>
      <c r="M41" s="18"/>
      <c r="N41" s="18"/>
      <c r="O41" s="18"/>
    </row>
    <row r="42" spans="1:15" ht="18" customHeight="1" thickBot="1" x14ac:dyDescent="0.3">
      <c r="A42" s="44" t="s">
        <v>49</v>
      </c>
      <c r="B42" s="44"/>
      <c r="C42" s="48"/>
      <c r="D42" s="48"/>
      <c r="E42" s="49"/>
      <c r="F42" s="50"/>
      <c r="G42" s="50"/>
      <c r="H42" s="24"/>
      <c r="I42" s="23"/>
      <c r="J42" s="18"/>
      <c r="K42" s="18"/>
      <c r="L42" s="18"/>
      <c r="M42" s="18"/>
      <c r="N42" s="18"/>
      <c r="O42" s="18"/>
    </row>
    <row r="43" spans="1:15" s="57" customFormat="1" ht="21" customHeight="1" thickBot="1" x14ac:dyDescent="0.3">
      <c r="A43" s="51" t="s">
        <v>50</v>
      </c>
      <c r="B43" s="52"/>
      <c r="C43" s="53">
        <f>C16+C18+C20+C21+C24+C25+C26+C29+C30+C35+C36+C37+C38+C39+C22+C23+C19+C41+C17</f>
        <v>2894024.9</v>
      </c>
      <c r="D43" s="53">
        <f>D16+D18+D20+D21+D24+D25+D26+D29+D30+D35+D36+D37+D38+D39+D22+D23+D19+D41+D17</f>
        <v>1922675.7700000003</v>
      </c>
      <c r="E43" s="53">
        <f>E16+E18+E20+E21+E24+E25+E26+E29+E30+E35+E36+E37+E38+E39+E22+E23+E19+E41+E17</f>
        <v>1922675.7700000003</v>
      </c>
      <c r="F43" s="53">
        <f>F16+F18+F20+F21+F24+F25+F26+F29+F30+F35+F36+F37+F38+F39+F22+F23+F19+F41+F17</f>
        <v>1920706.7000000002</v>
      </c>
      <c r="G43" s="53">
        <f>G16+G18+G20+G21+G24+G25+G26+G29+G30+G35+G36+G37+G38+G39+G22+G23+G19+G41+G17</f>
        <v>2081194.7040000004</v>
      </c>
      <c r="H43" s="54">
        <f>F43-G43</f>
        <v>-160488.00400000019</v>
      </c>
      <c r="I43" s="23"/>
      <c r="J43" s="55"/>
      <c r="K43" s="56"/>
    </row>
    <row r="44" spans="1:15" s="27" customFormat="1" ht="15.75" x14ac:dyDescent="0.25">
      <c r="A44" s="58"/>
      <c r="B44" s="59"/>
      <c r="C44" s="60">
        <f>2820573.3+73451.6</f>
        <v>2894024.9</v>
      </c>
      <c r="D44" s="59">
        <f>1863874.8</f>
        <v>1863874.8</v>
      </c>
      <c r="E44" s="59">
        <f>D43-E43</f>
        <v>0</v>
      </c>
      <c r="F44" s="59">
        <f>E43-F43</f>
        <v>1969.0700000000652</v>
      </c>
      <c r="G44" s="59"/>
      <c r="H44" s="23"/>
      <c r="I44" s="61"/>
      <c r="J44" s="23"/>
      <c r="K44" s="23"/>
    </row>
    <row r="45" spans="1:15" s="27" customFormat="1" x14ac:dyDescent="0.25">
      <c r="A45" s="62" t="s">
        <v>51</v>
      </c>
      <c r="B45" s="63"/>
      <c r="C45" s="64">
        <f>C43-C44</f>
        <v>0</v>
      </c>
      <c r="D45" s="65">
        <f>D43-D44</f>
        <v>58800.970000000205</v>
      </c>
      <c r="E45" s="65"/>
      <c r="F45" s="65">
        <v>1969.1</v>
      </c>
      <c r="G45" s="65"/>
      <c r="H45" s="23"/>
      <c r="I45" s="23"/>
      <c r="J45" s="23"/>
    </row>
    <row r="46" spans="1:15" x14ac:dyDescent="0.25">
      <c r="A46" s="62" t="s">
        <v>52</v>
      </c>
      <c r="B46" s="112" t="s">
        <v>53</v>
      </c>
      <c r="C46" s="64">
        <v>58801</v>
      </c>
      <c r="D46" s="64"/>
      <c r="E46" s="65"/>
      <c r="F46" s="65">
        <f>F44-F45</f>
        <v>-2.999999993471647E-2</v>
      </c>
      <c r="G46" s="65"/>
      <c r="H46" s="23"/>
      <c r="I46" s="27"/>
      <c r="J46" s="27"/>
    </row>
    <row r="47" spans="1:15" ht="15.75" customHeight="1" x14ac:dyDescent="0.25">
      <c r="A47" s="62" t="s">
        <v>54</v>
      </c>
      <c r="B47" s="63"/>
      <c r="C47" s="65"/>
      <c r="D47" s="65"/>
      <c r="E47" s="63"/>
      <c r="F47" s="65"/>
      <c r="G47" s="65"/>
      <c r="H47" s="27"/>
      <c r="I47" s="27"/>
      <c r="J47" s="27"/>
    </row>
    <row r="48" spans="1:15" ht="15.75" x14ac:dyDescent="0.25">
      <c r="A48" s="66" t="s">
        <v>55</v>
      </c>
      <c r="B48" s="66"/>
      <c r="C48" s="67"/>
      <c r="D48" s="63"/>
      <c r="E48" s="63"/>
      <c r="F48" s="65"/>
      <c r="G48" s="63"/>
      <c r="H48" s="23"/>
      <c r="I48" s="27"/>
      <c r="J48" s="27"/>
    </row>
    <row r="49" spans="1:10" x14ac:dyDescent="0.25">
      <c r="A49" s="62" t="s">
        <v>56</v>
      </c>
      <c r="B49" s="63"/>
      <c r="C49" s="65"/>
      <c r="D49" s="63"/>
      <c r="E49" s="63"/>
      <c r="F49" s="65"/>
      <c r="G49" s="63"/>
      <c r="H49" s="27"/>
      <c r="I49" s="27"/>
      <c r="J49" s="27"/>
    </row>
    <row r="50" spans="1:10" ht="15.75" x14ac:dyDescent="0.25">
      <c r="A50" s="68"/>
      <c r="B50" s="69"/>
      <c r="C50" s="61"/>
      <c r="D50" s="69"/>
      <c r="E50" s="69"/>
      <c r="F50" s="69"/>
      <c r="G50" s="69"/>
      <c r="H50" s="23"/>
      <c r="I50" s="27"/>
      <c r="J50" s="27"/>
    </row>
    <row r="51" spans="1:10" ht="15.75" x14ac:dyDescent="0.25">
      <c r="A51" s="70"/>
      <c r="B51" s="63"/>
      <c r="C51" s="61"/>
      <c r="D51" s="63"/>
      <c r="E51" s="65"/>
      <c r="F51" s="63"/>
      <c r="G51" s="65"/>
      <c r="H51" s="27"/>
      <c r="I51" s="27"/>
      <c r="J51" s="27"/>
    </row>
    <row r="52" spans="1:10" x14ac:dyDescent="0.25">
      <c r="A52" s="27"/>
      <c r="B52" s="63"/>
      <c r="C52" s="65"/>
      <c r="D52" s="63"/>
      <c r="E52" s="63"/>
      <c r="F52" s="65"/>
      <c r="G52" s="63"/>
      <c r="H52" s="27"/>
      <c r="I52" s="27"/>
      <c r="J52" s="27"/>
    </row>
    <row r="53" spans="1:10" x14ac:dyDescent="0.25">
      <c r="A53" s="27"/>
      <c r="B53" s="63"/>
      <c r="C53" s="65"/>
      <c r="D53" s="63"/>
      <c r="E53" s="63"/>
      <c r="F53" s="65"/>
      <c r="G53" s="63"/>
      <c r="H53" s="27"/>
      <c r="I53" s="27"/>
      <c r="J53" s="27"/>
    </row>
    <row r="54" spans="1:10" x14ac:dyDescent="0.25">
      <c r="A54" s="27"/>
      <c r="B54" s="63"/>
      <c r="C54" s="63"/>
      <c r="D54" s="63"/>
      <c r="E54" s="63"/>
      <c r="F54" s="63"/>
      <c r="G54" s="63"/>
      <c r="H54" s="27"/>
      <c r="I54" s="27"/>
      <c r="J54" s="27"/>
    </row>
    <row r="55" spans="1:10" x14ac:dyDescent="0.25">
      <c r="A55" s="27"/>
      <c r="B55" s="63"/>
      <c r="C55" s="63"/>
      <c r="D55" s="63"/>
      <c r="E55" s="63"/>
      <c r="F55" s="63"/>
      <c r="G55" s="63"/>
      <c r="H55" s="27"/>
      <c r="I55" s="27"/>
      <c r="J55" s="27"/>
    </row>
    <row r="56" spans="1:10" x14ac:dyDescent="0.25">
      <c r="A56" s="27"/>
      <c r="B56" s="63"/>
      <c r="C56" s="63"/>
      <c r="D56" s="63"/>
      <c r="E56" s="63"/>
      <c r="F56" s="63"/>
      <c r="G56" s="63"/>
      <c r="H56" s="27"/>
      <c r="I56" s="27"/>
      <c r="J56" s="27"/>
    </row>
    <row r="57" spans="1:10" x14ac:dyDescent="0.25">
      <c r="A57" s="27"/>
      <c r="B57" s="63"/>
      <c r="C57" s="63"/>
      <c r="D57" s="63"/>
      <c r="E57" s="63"/>
      <c r="F57" s="63"/>
      <c r="G57" s="63"/>
      <c r="H57" s="27"/>
      <c r="I57" s="27"/>
      <c r="J57" s="27"/>
    </row>
    <row r="58" spans="1:10" x14ac:dyDescent="0.25">
      <c r="A58" s="27"/>
      <c r="B58" s="63"/>
      <c r="C58" s="71"/>
      <c r="D58" s="63"/>
      <c r="E58" s="63"/>
      <c r="F58" s="63"/>
      <c r="G58" s="63"/>
      <c r="H58" s="27"/>
      <c r="I58" s="27"/>
      <c r="J58" s="27"/>
    </row>
    <row r="59" spans="1:10" x14ac:dyDescent="0.25">
      <c r="B59" s="27"/>
      <c r="C59" s="27"/>
      <c r="D59" s="27"/>
      <c r="E59" s="27"/>
      <c r="F59" s="27"/>
      <c r="G59" s="27"/>
      <c r="H59" s="27"/>
      <c r="I59" s="32"/>
    </row>
    <row r="60" spans="1:10" x14ac:dyDescent="0.25">
      <c r="B60" s="27"/>
      <c r="C60" s="27"/>
      <c r="D60" s="27"/>
      <c r="E60" s="27"/>
      <c r="F60" s="27"/>
      <c r="G60" s="27"/>
      <c r="H60" s="27"/>
    </row>
    <row r="61" spans="1:10" x14ac:dyDescent="0.25">
      <c r="B61" s="27"/>
      <c r="C61" s="27"/>
      <c r="D61" s="27"/>
      <c r="E61" s="27"/>
      <c r="F61" s="27"/>
      <c r="G61" s="27"/>
      <c r="H61" s="27"/>
    </row>
    <row r="62" spans="1:10" x14ac:dyDescent="0.25">
      <c r="B62" s="27"/>
      <c r="C62" s="27"/>
      <c r="D62" s="27"/>
      <c r="E62" s="27"/>
      <c r="F62" s="27"/>
      <c r="G62" s="27"/>
      <c r="H62" s="27"/>
    </row>
  </sheetData>
  <mergeCells count="7">
    <mergeCell ref="G12:G14"/>
    <mergeCell ref="A12:A14"/>
    <mergeCell ref="B12:B14"/>
    <mergeCell ref="C12:C14"/>
    <mergeCell ref="D12:D14"/>
    <mergeCell ref="E12:E14"/>
    <mergeCell ref="F12:F14"/>
  </mergeCells>
  <pageMargins left="0.7" right="0.7" top="0.75" bottom="0.75" header="0.3" footer="0.3"/>
  <pageSetup paperSize="9" scale="4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7"/>
  <sheetViews>
    <sheetView workbookViewId="0">
      <selection sqref="A1:J19"/>
    </sheetView>
  </sheetViews>
  <sheetFormatPr defaultRowHeight="15" x14ac:dyDescent="0.25"/>
  <cols>
    <col min="1" max="1" width="15.85546875" customWidth="1"/>
    <col min="2" max="2" width="15.7109375" customWidth="1"/>
    <col min="3" max="3" width="17.28515625" customWidth="1"/>
    <col min="4" max="4" width="17.7109375" customWidth="1"/>
    <col min="5" max="5" width="14" customWidth="1"/>
    <col min="6" max="6" width="14.28515625" customWidth="1"/>
    <col min="7" max="7" width="13.85546875" customWidth="1"/>
    <col min="8" max="8" width="14.28515625" customWidth="1"/>
    <col min="9" max="9" width="11.85546875" customWidth="1"/>
    <col min="10" max="10" width="17.42578125" customWidth="1"/>
  </cols>
  <sheetData>
    <row r="4" spans="1:10" ht="39.75" x14ac:dyDescent="0.3">
      <c r="A4" s="72" t="s">
        <v>57</v>
      </c>
      <c r="B4" s="73" t="s">
        <v>58</v>
      </c>
      <c r="C4" s="73" t="s">
        <v>59</v>
      </c>
      <c r="D4" s="73" t="s">
        <v>60</v>
      </c>
      <c r="E4" s="74" t="s">
        <v>61</v>
      </c>
      <c r="F4" s="74" t="s">
        <v>62</v>
      </c>
      <c r="G4" s="74" t="s">
        <v>63</v>
      </c>
      <c r="H4" s="73" t="s">
        <v>64</v>
      </c>
      <c r="I4" s="74" t="s">
        <v>65</v>
      </c>
      <c r="J4" s="73" t="s">
        <v>50</v>
      </c>
    </row>
    <row r="5" spans="1:10" ht="15.75" x14ac:dyDescent="0.25">
      <c r="A5" s="75" t="s">
        <v>66</v>
      </c>
      <c r="B5" s="76">
        <f>543838000</f>
        <v>543838000</v>
      </c>
      <c r="C5" s="77"/>
      <c r="D5" s="77">
        <f>569700</f>
        <v>569700</v>
      </c>
      <c r="E5" s="77">
        <f>5986+3991+4116229+124625+72507</f>
        <v>4323338</v>
      </c>
      <c r="F5" s="77"/>
      <c r="G5" s="77">
        <f>194944</f>
        <v>194944</v>
      </c>
      <c r="H5" s="77">
        <f>156000+21953.56+33521.36+336462.88+108833.79+147408.05</f>
        <v>804179.64000000013</v>
      </c>
      <c r="I5" s="77">
        <f>53307+1604069+292025</f>
        <v>1949401</v>
      </c>
      <c r="J5" s="78">
        <f>B5+C5+D5+E5+F5+G5+H5+I5</f>
        <v>551679562.63999999</v>
      </c>
    </row>
    <row r="6" spans="1:10" ht="15.75" x14ac:dyDescent="0.25">
      <c r="A6" s="75" t="s">
        <v>67</v>
      </c>
      <c r="B6" s="76">
        <f>54320084.17+2619166.59</f>
        <v>56939250.760000005</v>
      </c>
      <c r="C6" s="77"/>
      <c r="D6" s="77">
        <v>653980</v>
      </c>
      <c r="E6" s="91"/>
      <c r="F6" s="77"/>
      <c r="G6" s="77">
        <f>198480+115716+101082+237350+568000+186000+330625+3120+330625+3120+38870+186000+3120+3120+3120+519745+186000+519745+29348+17796+153000+443000+152000+34440+31050+450000+725400</f>
        <v>5569872</v>
      </c>
      <c r="H6" s="77">
        <f>81845.17+2598313.75+24237.93+72457.79+86326.1</f>
        <v>2863180.74</v>
      </c>
      <c r="I6" s="77"/>
      <c r="J6" s="78">
        <f t="shared" ref="J6:J16" si="0">B6+C6+D6+E6+F6+G6+H6+I6</f>
        <v>66026283.500000007</v>
      </c>
    </row>
    <row r="7" spans="1:10" ht="15.75" x14ac:dyDescent="0.25">
      <c r="A7" s="75" t="s">
        <v>68</v>
      </c>
      <c r="B7" s="79"/>
      <c r="C7" s="77"/>
      <c r="D7" s="77">
        <v>803165</v>
      </c>
      <c r="E7" s="77">
        <f>3425+5138+98514+215677+4312+4312+300+14372+4528+4312+2874</f>
        <v>357764</v>
      </c>
      <c r="F7" s="77"/>
      <c r="G7" s="77">
        <f>295000+295000+11940+76512+21323.44</f>
        <v>699775.44</v>
      </c>
      <c r="H7" s="77"/>
      <c r="I7" s="77"/>
      <c r="J7" s="78">
        <f t="shared" si="0"/>
        <v>1860704.44</v>
      </c>
    </row>
    <row r="8" spans="1:10" ht="15.75" x14ac:dyDescent="0.25">
      <c r="A8" s="75" t="s">
        <v>69</v>
      </c>
      <c r="B8" s="80">
        <f>177600497.45+4982000</f>
        <v>182582497.44999999</v>
      </c>
      <c r="C8" s="77"/>
      <c r="D8" s="77">
        <f>434500+1146590</f>
        <v>1581090</v>
      </c>
      <c r="E8" s="77">
        <f>2514+88701+144514+24119+884.16</f>
        <v>260732.16</v>
      </c>
      <c r="F8" s="77"/>
      <c r="G8" s="77">
        <f>1159200+9221+184000+184000+229536+242+664.32+285483+1679700</f>
        <v>3732046.3200000003</v>
      </c>
      <c r="H8" s="77">
        <f>3239083.82+355829.21+23480.47+10852.35+16174.83</f>
        <v>3645420.68</v>
      </c>
      <c r="I8" s="77"/>
      <c r="J8" s="78">
        <f t="shared" si="0"/>
        <v>191801786.60999998</v>
      </c>
    </row>
    <row r="9" spans="1:10" ht="15.75" x14ac:dyDescent="0.25">
      <c r="A9" s="75" t="s">
        <v>70</v>
      </c>
      <c r="B9" s="81">
        <f>169394897.09+4982000+171839521.7+4982000+15403851.24+142938770.04</f>
        <v>509541040.06999993</v>
      </c>
      <c r="C9" s="77"/>
      <c r="D9" s="77">
        <f>171665+114940</f>
        <v>286605</v>
      </c>
      <c r="E9" s="77">
        <f>45785666+49729+68763+5338+2100+5876</f>
        <v>45917472</v>
      </c>
      <c r="F9" s="77">
        <f>1975.44+14988.96+197000+3129.28</f>
        <v>217093.68</v>
      </c>
      <c r="G9" s="77">
        <v>856449</v>
      </c>
      <c r="H9" s="77">
        <f>87211.52+4179.36+93791.29+267726.54+1219618.16+798812.78+53069.58+190400+1203+43246.1+75600+163007.72+93026.6+71028.72+149615.84+2059515.92+204481.32+376181.48+114183+62250.58+1608573.6</f>
        <v>7736723.1100000013</v>
      </c>
      <c r="I9" s="77"/>
      <c r="J9" s="78">
        <f t="shared" si="0"/>
        <v>564555382.8599999</v>
      </c>
    </row>
    <row r="10" spans="1:10" ht="15.75" x14ac:dyDescent="0.25">
      <c r="A10" s="82" t="s">
        <v>33</v>
      </c>
      <c r="B10" s="83">
        <f>172044350.02+3500000</f>
        <v>175544350.02000001</v>
      </c>
      <c r="C10" s="84"/>
      <c r="D10" s="77">
        <f>487000</f>
        <v>487000</v>
      </c>
      <c r="E10" s="77"/>
      <c r="F10" s="77">
        <f>2000+7619+433.44</f>
        <v>10052.44</v>
      </c>
      <c r="G10" s="77"/>
      <c r="H10" s="77">
        <f>64512.28+28423.44+148573.66+42789.5+421957.47+93050.33+271260.16+16301+84705.8+215613.24+62805.14+100720.16+4179.36+329824.28+126033.97+71969.88+313592.28+37911.2</f>
        <v>2434223.1500000004</v>
      </c>
      <c r="I10" s="77"/>
      <c r="J10" s="78">
        <f t="shared" si="0"/>
        <v>178475625.61000001</v>
      </c>
    </row>
    <row r="11" spans="1:10" ht="15.75" x14ac:dyDescent="0.25">
      <c r="A11" s="82" t="s">
        <v>71</v>
      </c>
      <c r="B11" s="85">
        <v>178105779.09</v>
      </c>
      <c r="C11" s="77"/>
      <c r="D11" s="77">
        <f>372368+761300+92860</f>
        <v>1226528</v>
      </c>
      <c r="E11" s="77">
        <f>3050000+6917+2179+7528+11293+224439</f>
        <v>3302356</v>
      </c>
      <c r="F11" s="77"/>
      <c r="G11" s="77">
        <f>18600</f>
        <v>18600</v>
      </c>
      <c r="H11" s="77">
        <f>117170.56+124983.96+555143.74+4179.36+10852.35+271012.65+410852.35+200000</f>
        <v>1694194.9700000002</v>
      </c>
      <c r="I11" s="77"/>
      <c r="J11" s="78">
        <f t="shared" si="0"/>
        <v>184347458.06</v>
      </c>
    </row>
    <row r="12" spans="1:10" ht="15.75" x14ac:dyDescent="0.25">
      <c r="A12" s="82" t="s">
        <v>72</v>
      </c>
      <c r="B12" s="85">
        <f>23993928.56+189830000+3500000</f>
        <v>217323928.56</v>
      </c>
      <c r="C12" s="77"/>
      <c r="D12" s="77">
        <f>265000+696100</f>
        <v>961100</v>
      </c>
      <c r="E12" s="77">
        <f>3574+3574+767498</f>
        <v>774646</v>
      </c>
      <c r="F12" s="77">
        <f>7624.89+23400+242996.76</f>
        <v>274021.65000000002</v>
      </c>
      <c r="G12" s="77"/>
      <c r="H12" s="77">
        <f>1093049.91+213703.91+125370.6+773206.27+45948.78+206930.76+28007.64+88855.3+2552294.75+21953.56+1028247.25+71380.57</f>
        <v>6248949.2999999998</v>
      </c>
      <c r="I12" s="77"/>
      <c r="J12" s="78">
        <f t="shared" si="0"/>
        <v>225582645.51000002</v>
      </c>
    </row>
    <row r="13" spans="1:10" ht="15.75" x14ac:dyDescent="0.25">
      <c r="A13" s="82" t="s">
        <v>73</v>
      </c>
      <c r="B13" s="85"/>
      <c r="C13" s="77"/>
      <c r="D13" s="77"/>
      <c r="E13" s="77"/>
      <c r="F13" s="77"/>
      <c r="G13" s="77"/>
      <c r="H13" s="77"/>
      <c r="I13" s="77"/>
      <c r="J13" s="78">
        <f t="shared" si="0"/>
        <v>0</v>
      </c>
    </row>
    <row r="14" spans="1:10" ht="15.75" x14ac:dyDescent="0.25">
      <c r="A14" s="82" t="s">
        <v>74</v>
      </c>
      <c r="B14" s="86"/>
      <c r="C14" s="77"/>
      <c r="D14" s="77"/>
      <c r="E14" s="86"/>
      <c r="F14" s="77"/>
      <c r="G14" s="77"/>
      <c r="H14" s="77"/>
      <c r="I14" s="77"/>
      <c r="J14" s="78">
        <f t="shared" si="0"/>
        <v>0</v>
      </c>
    </row>
    <row r="15" spans="1:10" ht="15.75" x14ac:dyDescent="0.25">
      <c r="A15" s="82" t="s">
        <v>75</v>
      </c>
      <c r="B15" s="77"/>
      <c r="C15" s="77"/>
      <c r="D15" s="77"/>
      <c r="E15" s="77"/>
      <c r="F15" s="77"/>
      <c r="G15" s="77"/>
      <c r="H15" s="77"/>
      <c r="I15" s="77"/>
      <c r="J15" s="78">
        <f t="shared" si="0"/>
        <v>0</v>
      </c>
    </row>
    <row r="16" spans="1:10" ht="15.75" x14ac:dyDescent="0.25">
      <c r="A16" s="82" t="s">
        <v>76</v>
      </c>
      <c r="B16" s="77"/>
      <c r="C16" s="87"/>
      <c r="D16" s="77"/>
      <c r="E16" s="77"/>
      <c r="F16" s="77"/>
      <c r="G16" s="77"/>
      <c r="H16" s="77"/>
      <c r="I16" s="77"/>
      <c r="J16" s="78">
        <f t="shared" si="0"/>
        <v>0</v>
      </c>
    </row>
    <row r="17" spans="1:10" x14ac:dyDescent="0.25">
      <c r="A17" s="88" t="s">
        <v>77</v>
      </c>
      <c r="B17" s="89">
        <f t="shared" ref="B17:J17" si="1">SUM(B5:B16)</f>
        <v>1863874845.9499998</v>
      </c>
      <c r="C17" s="89">
        <f t="shared" si="1"/>
        <v>0</v>
      </c>
      <c r="D17" s="89">
        <f t="shared" si="1"/>
        <v>6569168</v>
      </c>
      <c r="E17" s="89">
        <f t="shared" si="1"/>
        <v>54936308.159999996</v>
      </c>
      <c r="F17" s="89">
        <f t="shared" si="1"/>
        <v>501167.77</v>
      </c>
      <c r="G17" s="89">
        <f t="shared" si="1"/>
        <v>11071686.76</v>
      </c>
      <c r="H17" s="89">
        <f t="shared" si="1"/>
        <v>25426871.59</v>
      </c>
      <c r="I17" s="89">
        <f t="shared" si="1"/>
        <v>1949401</v>
      </c>
      <c r="J17" s="90">
        <f t="shared" si="1"/>
        <v>1964329449.2299998</v>
      </c>
    </row>
  </sheetData>
  <pageMargins left="0.7" right="0.7" top="0.75" bottom="0.75" header="0.3" footer="0.3"/>
  <pageSetup paperSize="9" scale="8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opLeftCell="A65" workbookViewId="0">
      <selection activeCell="A2" sqref="A2:L80"/>
    </sheetView>
  </sheetViews>
  <sheetFormatPr defaultRowHeight="15" x14ac:dyDescent="0.25"/>
  <cols>
    <col min="1" max="1" width="5" style="92" customWidth="1"/>
    <col min="2" max="2" width="19.5703125" style="93" customWidth="1"/>
    <col min="3" max="3" width="12.7109375" style="93" customWidth="1"/>
    <col min="4" max="4" width="12.7109375" customWidth="1"/>
    <col min="5" max="6" width="11.7109375" customWidth="1"/>
    <col min="7" max="7" width="11.28515625" customWidth="1"/>
    <col min="8" max="10" width="11.7109375" customWidth="1"/>
    <col min="11" max="11" width="13" customWidth="1"/>
    <col min="12" max="12" width="10.7109375" customWidth="1"/>
    <col min="14" max="14" width="12.28515625" bestFit="1" customWidth="1"/>
  </cols>
  <sheetData>
    <row r="1" spans="2:12" hidden="1" x14ac:dyDescent="0.25"/>
    <row r="2" spans="2:12" ht="30" x14ac:dyDescent="0.25">
      <c r="B2" s="94" t="s">
        <v>78</v>
      </c>
      <c r="C2" s="94"/>
    </row>
    <row r="3" spans="2:12" x14ac:dyDescent="0.25">
      <c r="B3" s="95" t="s">
        <v>79</v>
      </c>
      <c r="C3" s="95"/>
    </row>
    <row r="4" spans="2:12" x14ac:dyDescent="0.25">
      <c r="B4" s="96" t="s">
        <v>80</v>
      </c>
      <c r="C4" s="96"/>
    </row>
    <row r="5" spans="2:12" hidden="1" x14ac:dyDescent="0.25">
      <c r="B5" s="97"/>
      <c r="C5" s="97"/>
    </row>
    <row r="6" spans="2:12" x14ac:dyDescent="0.25">
      <c r="B6" s="137"/>
      <c r="C6" s="138" t="s">
        <v>81</v>
      </c>
      <c r="D6" s="140" t="s">
        <v>82</v>
      </c>
      <c r="E6" s="141"/>
      <c r="F6" s="141"/>
      <c r="G6" s="142"/>
      <c r="H6" s="138" t="s">
        <v>83</v>
      </c>
      <c r="I6" s="140" t="s">
        <v>82</v>
      </c>
      <c r="J6" s="141"/>
      <c r="K6" s="141"/>
      <c r="L6" s="142"/>
    </row>
    <row r="7" spans="2:12" ht="38.25" x14ac:dyDescent="0.25">
      <c r="B7" s="137"/>
      <c r="C7" s="139"/>
      <c r="D7" s="98" t="s">
        <v>84</v>
      </c>
      <c r="E7" s="98" t="s">
        <v>85</v>
      </c>
      <c r="F7" s="98" t="s">
        <v>86</v>
      </c>
      <c r="G7" s="99" t="s">
        <v>87</v>
      </c>
      <c r="H7" s="139"/>
      <c r="I7" s="98" t="s">
        <v>84</v>
      </c>
      <c r="J7" s="98" t="s">
        <v>85</v>
      </c>
      <c r="K7" s="98" t="s">
        <v>86</v>
      </c>
      <c r="L7" s="99" t="s">
        <v>87</v>
      </c>
    </row>
    <row r="8" spans="2:12" x14ac:dyDescent="0.25">
      <c r="B8" s="100"/>
      <c r="C8" s="101"/>
      <c r="D8" s="77"/>
      <c r="E8" s="77"/>
      <c r="F8" s="77"/>
      <c r="G8" s="77"/>
      <c r="H8" s="102"/>
      <c r="I8" s="77"/>
      <c r="J8" s="77"/>
      <c r="K8" s="77"/>
      <c r="L8" s="77"/>
    </row>
    <row r="9" spans="2:12" x14ac:dyDescent="0.25">
      <c r="B9" s="103" t="s">
        <v>50</v>
      </c>
      <c r="C9" s="104">
        <f t="shared" ref="C9:L9" si="0">C10+C11+C12+C13+C14</f>
        <v>151386822</v>
      </c>
      <c r="D9" s="105">
        <f t="shared" si="0"/>
        <v>140681466</v>
      </c>
      <c r="E9" s="105">
        <f t="shared" si="0"/>
        <v>10604684</v>
      </c>
      <c r="F9" s="105">
        <f t="shared" si="0"/>
        <v>100672</v>
      </c>
      <c r="G9" s="105">
        <f t="shared" si="0"/>
        <v>0</v>
      </c>
      <c r="H9" s="104">
        <f t="shared" si="0"/>
        <v>143058205</v>
      </c>
      <c r="I9" s="105">
        <f t="shared" si="0"/>
        <v>118859499</v>
      </c>
      <c r="J9" s="105">
        <f t="shared" si="0"/>
        <v>8981900</v>
      </c>
      <c r="K9" s="105">
        <f t="shared" si="0"/>
        <v>214130</v>
      </c>
      <c r="L9" s="105">
        <f t="shared" si="0"/>
        <v>15002676</v>
      </c>
    </row>
    <row r="10" spans="2:12" x14ac:dyDescent="0.25">
      <c r="B10" s="103" t="s">
        <v>88</v>
      </c>
      <c r="C10" s="104">
        <v>41333502</v>
      </c>
      <c r="D10" s="105">
        <f>C10-E10-F10-G10</f>
        <v>40205299</v>
      </c>
      <c r="E10" s="105">
        <v>1128203</v>
      </c>
      <c r="F10" s="105"/>
      <c r="G10" s="105"/>
      <c r="H10" s="104">
        <v>45572402</v>
      </c>
      <c r="I10" s="105">
        <f>H10-J10-K10-L10</f>
        <v>38611006</v>
      </c>
      <c r="J10" s="105">
        <v>2357518</v>
      </c>
      <c r="K10" s="105">
        <v>214130</v>
      </c>
      <c r="L10" s="105">
        <v>4389748</v>
      </c>
    </row>
    <row r="11" spans="2:12" x14ac:dyDescent="0.25">
      <c r="B11" s="103" t="s">
        <v>89</v>
      </c>
      <c r="C11" s="104">
        <v>79684967</v>
      </c>
      <c r="D11" s="105">
        <f>C11-E11-F11-G11</f>
        <v>71406325</v>
      </c>
      <c r="E11" s="105">
        <v>8177970</v>
      </c>
      <c r="F11" s="105">
        <v>100672</v>
      </c>
      <c r="G11" s="105"/>
      <c r="H11" s="104">
        <v>68507608</v>
      </c>
      <c r="I11" s="105">
        <f>H11-J11-K11-L11</f>
        <v>56372238</v>
      </c>
      <c r="J11" s="105">
        <v>5121284</v>
      </c>
      <c r="K11" s="105"/>
      <c r="L11" s="105">
        <v>7014086</v>
      </c>
    </row>
    <row r="12" spans="2:12" x14ac:dyDescent="0.25">
      <c r="B12" s="103" t="s">
        <v>90</v>
      </c>
      <c r="C12" s="104">
        <v>19073927</v>
      </c>
      <c r="D12" s="105">
        <f>C12-E12-F12-G12</f>
        <v>17988442</v>
      </c>
      <c r="E12" s="105">
        <v>1085485</v>
      </c>
      <c r="F12" s="105"/>
      <c r="G12" s="105"/>
      <c r="H12" s="104">
        <v>15818276</v>
      </c>
      <c r="I12" s="105">
        <f>H12-J12-K12-L12</f>
        <v>13139858</v>
      </c>
      <c r="J12" s="105">
        <v>740472</v>
      </c>
      <c r="K12" s="105"/>
      <c r="L12" s="105">
        <v>1937946</v>
      </c>
    </row>
    <row r="13" spans="2:12" x14ac:dyDescent="0.25">
      <c r="B13" s="106" t="s">
        <v>91</v>
      </c>
      <c r="C13" s="104">
        <v>4372076</v>
      </c>
      <c r="D13" s="105">
        <f>C13-E13-F13-G13</f>
        <v>4372076</v>
      </c>
      <c r="E13" s="105"/>
      <c r="F13" s="105"/>
      <c r="G13" s="105"/>
      <c r="H13" s="104">
        <v>6241704</v>
      </c>
      <c r="I13" s="105">
        <f>H13-J13-K13-L13</f>
        <v>5074098</v>
      </c>
      <c r="J13" s="105">
        <v>505118</v>
      </c>
      <c r="K13" s="105"/>
      <c r="L13" s="105">
        <v>662488</v>
      </c>
    </row>
    <row r="14" spans="2:12" x14ac:dyDescent="0.25">
      <c r="B14" s="103" t="s">
        <v>92</v>
      </c>
      <c r="C14" s="104">
        <v>6922350</v>
      </c>
      <c r="D14" s="105">
        <f>C14-E14-F14-G14</f>
        <v>6709324</v>
      </c>
      <c r="E14" s="105">
        <v>213026</v>
      </c>
      <c r="F14" s="105"/>
      <c r="G14" s="105"/>
      <c r="H14" s="104">
        <v>6918215</v>
      </c>
      <c r="I14" s="105">
        <f>H14-J14-K14-L14</f>
        <v>5662299</v>
      </c>
      <c r="J14" s="105">
        <v>257508</v>
      </c>
      <c r="K14" s="105"/>
      <c r="L14" s="105">
        <v>998408</v>
      </c>
    </row>
    <row r="15" spans="2:12" x14ac:dyDescent="0.25">
      <c r="B15" s="103"/>
      <c r="C15" s="104"/>
      <c r="D15" s="105"/>
      <c r="E15" s="105"/>
      <c r="F15" s="105"/>
      <c r="G15" s="105"/>
      <c r="H15" s="104"/>
      <c r="I15" s="105"/>
      <c r="J15" s="105"/>
      <c r="K15" s="105"/>
      <c r="L15" s="105"/>
    </row>
    <row r="16" spans="2:12" x14ac:dyDescent="0.25">
      <c r="C16" s="93">
        <v>151386822</v>
      </c>
      <c r="H16">
        <v>143058205</v>
      </c>
    </row>
    <row r="19" spans="2:12" x14ac:dyDescent="0.25">
      <c r="B19" s="137"/>
      <c r="C19" s="138" t="s">
        <v>93</v>
      </c>
      <c r="D19" s="140" t="s">
        <v>82</v>
      </c>
      <c r="E19" s="141"/>
      <c r="F19" s="141"/>
      <c r="G19" s="142"/>
      <c r="H19" s="138" t="s">
        <v>94</v>
      </c>
      <c r="I19" s="140" t="s">
        <v>82</v>
      </c>
      <c r="J19" s="141"/>
      <c r="K19" s="141"/>
      <c r="L19" s="142"/>
    </row>
    <row r="20" spans="2:12" ht="38.25" x14ac:dyDescent="0.25">
      <c r="B20" s="137"/>
      <c r="C20" s="139"/>
      <c r="D20" s="98" t="s">
        <v>84</v>
      </c>
      <c r="E20" s="98" t="s">
        <v>85</v>
      </c>
      <c r="F20" s="98" t="s">
        <v>86</v>
      </c>
      <c r="G20" s="99" t="s">
        <v>87</v>
      </c>
      <c r="H20" s="139"/>
      <c r="I20" s="98" t="s">
        <v>84</v>
      </c>
      <c r="J20" s="98" t="s">
        <v>85</v>
      </c>
      <c r="K20" s="98" t="s">
        <v>86</v>
      </c>
      <c r="L20" s="99" t="s">
        <v>87</v>
      </c>
    </row>
    <row r="21" spans="2:12" x14ac:dyDescent="0.25">
      <c r="B21" s="100"/>
      <c r="C21" s="101"/>
      <c r="D21" s="77"/>
      <c r="E21" s="77"/>
      <c r="F21" s="77"/>
      <c r="G21" s="77"/>
      <c r="H21" s="101"/>
      <c r="I21" s="77"/>
      <c r="J21" s="77"/>
      <c r="K21" s="77"/>
      <c r="L21" s="77"/>
    </row>
    <row r="22" spans="2:12" x14ac:dyDescent="0.25">
      <c r="B22" s="103" t="s">
        <v>50</v>
      </c>
      <c r="C22" s="104">
        <f t="shared" ref="C22:L22" si="1">C23+C24+C25+C26+C27</f>
        <v>238724830</v>
      </c>
      <c r="D22" s="105">
        <f t="shared" si="1"/>
        <v>143286379</v>
      </c>
      <c r="E22" s="105">
        <f t="shared" si="1"/>
        <v>10520438</v>
      </c>
      <c r="F22" s="105">
        <f t="shared" si="1"/>
        <v>55624053</v>
      </c>
      <c r="G22" s="105">
        <f t="shared" si="1"/>
        <v>29293960</v>
      </c>
      <c r="H22" s="104">
        <f t="shared" si="1"/>
        <v>164508135</v>
      </c>
      <c r="I22" s="105">
        <f t="shared" si="1"/>
        <v>124910108</v>
      </c>
      <c r="J22" s="105">
        <f t="shared" si="1"/>
        <v>9858843</v>
      </c>
      <c r="K22" s="105">
        <f t="shared" si="1"/>
        <v>4752932</v>
      </c>
      <c r="L22" s="105">
        <f t="shared" si="1"/>
        <v>24986252</v>
      </c>
    </row>
    <row r="23" spans="2:12" x14ac:dyDescent="0.25">
      <c r="B23" s="103" t="s">
        <v>88</v>
      </c>
      <c r="C23" s="104">
        <v>76991588</v>
      </c>
      <c r="D23" s="105">
        <f>C23-E23-F23-G23</f>
        <v>49150103</v>
      </c>
      <c r="E23" s="105">
        <v>3093912</v>
      </c>
      <c r="F23" s="105">
        <v>14897957</v>
      </c>
      <c r="G23" s="105">
        <v>9849616</v>
      </c>
      <c r="H23" s="104">
        <v>54981275</v>
      </c>
      <c r="I23" s="105">
        <f>H23-J23-K23-L23</f>
        <v>42184347</v>
      </c>
      <c r="J23" s="105">
        <v>2602270</v>
      </c>
      <c r="K23" s="105">
        <v>1948761</v>
      </c>
      <c r="L23" s="105">
        <v>8245897</v>
      </c>
    </row>
    <row r="24" spans="2:12" x14ac:dyDescent="0.25">
      <c r="B24" s="103" t="s">
        <v>89</v>
      </c>
      <c r="C24" s="104">
        <v>113654386</v>
      </c>
      <c r="D24" s="105">
        <f>C24-E24-F24-G24</f>
        <v>65654115</v>
      </c>
      <c r="E24" s="105">
        <v>5963182</v>
      </c>
      <c r="F24" s="105">
        <v>29243300</v>
      </c>
      <c r="G24" s="105">
        <v>12793789</v>
      </c>
      <c r="H24" s="104">
        <v>74859850</v>
      </c>
      <c r="I24" s="105">
        <f>H24-J24-K24-L24</f>
        <v>56626651</v>
      </c>
      <c r="J24" s="105">
        <v>4865100</v>
      </c>
      <c r="K24" s="105">
        <v>2615447</v>
      </c>
      <c r="L24" s="105">
        <v>10752652</v>
      </c>
    </row>
    <row r="25" spans="2:12" x14ac:dyDescent="0.25">
      <c r="B25" s="103" t="s">
        <v>90</v>
      </c>
      <c r="C25" s="104">
        <v>25121630</v>
      </c>
      <c r="D25" s="105">
        <f>C25-E25-F25-G25</f>
        <v>14862851</v>
      </c>
      <c r="E25" s="105">
        <v>503916</v>
      </c>
      <c r="F25" s="105">
        <v>6166847</v>
      </c>
      <c r="G25" s="105">
        <v>3588016</v>
      </c>
      <c r="H25" s="104">
        <v>17992133</v>
      </c>
      <c r="I25" s="105">
        <f>H25-J25-K25-L25</f>
        <v>13799273</v>
      </c>
      <c r="J25" s="105">
        <v>755549</v>
      </c>
      <c r="K25" s="105">
        <v>188724</v>
      </c>
      <c r="L25" s="105">
        <v>3248587</v>
      </c>
    </row>
    <row r="26" spans="2:12" x14ac:dyDescent="0.25">
      <c r="B26" s="106" t="s">
        <v>91</v>
      </c>
      <c r="C26" s="104">
        <v>10113503</v>
      </c>
      <c r="D26" s="105">
        <f>C26-E26-F26-G26</f>
        <v>6001009</v>
      </c>
      <c r="E26" s="105">
        <v>345326</v>
      </c>
      <c r="F26" s="105">
        <v>2442133</v>
      </c>
      <c r="G26" s="105">
        <v>1325035</v>
      </c>
      <c r="H26" s="104">
        <v>8018925</v>
      </c>
      <c r="I26" s="105">
        <f>H26-J26-K26-L26</f>
        <v>5934753</v>
      </c>
      <c r="J26" s="105">
        <v>1084292</v>
      </c>
      <c r="K26" s="105"/>
      <c r="L26" s="105">
        <v>999880</v>
      </c>
    </row>
    <row r="27" spans="2:12" x14ac:dyDescent="0.25">
      <c r="B27" s="103" t="s">
        <v>92</v>
      </c>
      <c r="C27" s="104">
        <v>12843723</v>
      </c>
      <c r="D27" s="105">
        <f>C27-E27-F27-G27</f>
        <v>7618301</v>
      </c>
      <c r="E27" s="105">
        <v>614102</v>
      </c>
      <c r="F27" s="105">
        <v>2873816</v>
      </c>
      <c r="G27" s="105">
        <v>1737504</v>
      </c>
      <c r="H27" s="104">
        <v>8655952</v>
      </c>
      <c r="I27" s="105">
        <f>H27-J27-K27-L27</f>
        <v>6365084</v>
      </c>
      <c r="J27" s="105">
        <v>551632</v>
      </c>
      <c r="K27" s="105"/>
      <c r="L27" s="105">
        <v>1739236</v>
      </c>
    </row>
    <row r="28" spans="2:12" x14ac:dyDescent="0.25">
      <c r="B28" s="103"/>
      <c r="C28" s="104"/>
      <c r="D28" s="105"/>
      <c r="E28" s="105"/>
      <c r="F28" s="105"/>
      <c r="G28" s="105"/>
      <c r="H28" s="104"/>
      <c r="I28" s="105"/>
      <c r="J28" s="105"/>
      <c r="K28" s="105"/>
      <c r="L28" s="105"/>
    </row>
    <row r="29" spans="2:12" x14ac:dyDescent="0.25">
      <c r="C29" s="93">
        <v>238724830</v>
      </c>
      <c r="H29">
        <v>164508135</v>
      </c>
    </row>
    <row r="32" spans="2:12" x14ac:dyDescent="0.25">
      <c r="B32" s="137"/>
      <c r="C32" s="138" t="s">
        <v>95</v>
      </c>
      <c r="D32" s="140" t="s">
        <v>82</v>
      </c>
      <c r="E32" s="141"/>
      <c r="F32" s="141"/>
      <c r="G32" s="142"/>
      <c r="H32" s="138" t="s">
        <v>96</v>
      </c>
      <c r="I32" s="140" t="s">
        <v>82</v>
      </c>
      <c r="J32" s="141"/>
      <c r="K32" s="141"/>
      <c r="L32" s="142"/>
    </row>
    <row r="33" spans="2:12" ht="38.25" x14ac:dyDescent="0.25">
      <c r="B33" s="137"/>
      <c r="C33" s="139"/>
      <c r="D33" s="98" t="s">
        <v>84</v>
      </c>
      <c r="E33" s="98" t="s">
        <v>85</v>
      </c>
      <c r="F33" s="98" t="s">
        <v>86</v>
      </c>
      <c r="G33" s="99" t="s">
        <v>87</v>
      </c>
      <c r="H33" s="139"/>
      <c r="I33" s="98" t="s">
        <v>84</v>
      </c>
      <c r="J33" s="98" t="s">
        <v>85</v>
      </c>
      <c r="K33" s="98" t="s">
        <v>86</v>
      </c>
      <c r="L33" s="99" t="s">
        <v>87</v>
      </c>
    </row>
    <row r="34" spans="2:12" x14ac:dyDescent="0.25">
      <c r="B34" s="100"/>
      <c r="C34" s="101"/>
      <c r="D34" s="77"/>
      <c r="E34" s="77"/>
      <c r="F34" s="77"/>
      <c r="G34" s="77"/>
      <c r="H34" s="101"/>
      <c r="I34" s="77"/>
      <c r="J34" s="77"/>
      <c r="K34" s="77"/>
      <c r="L34" s="77"/>
    </row>
    <row r="35" spans="2:12" x14ac:dyDescent="0.25">
      <c r="B35" s="103" t="s">
        <v>50</v>
      </c>
      <c r="C35" s="104">
        <f t="shared" ref="C35:L35" si="2">C36+C37+C38+C39+C40</f>
        <v>159216835</v>
      </c>
      <c r="D35" s="105">
        <f t="shared" si="2"/>
        <v>131826613</v>
      </c>
      <c r="E35" s="105">
        <f t="shared" si="2"/>
        <v>7228516</v>
      </c>
      <c r="F35" s="105">
        <f t="shared" si="2"/>
        <v>0</v>
      </c>
      <c r="G35" s="105">
        <f t="shared" si="2"/>
        <v>20161706</v>
      </c>
      <c r="H35" s="104">
        <f t="shared" si="2"/>
        <v>237317951</v>
      </c>
      <c r="I35" s="105">
        <f t="shared" si="2"/>
        <v>152451674</v>
      </c>
      <c r="J35" s="105">
        <f t="shared" si="2"/>
        <v>20795224</v>
      </c>
      <c r="K35" s="105">
        <f t="shared" si="2"/>
        <v>64071053</v>
      </c>
      <c r="L35" s="105">
        <f t="shared" si="2"/>
        <v>0</v>
      </c>
    </row>
    <row r="36" spans="2:12" x14ac:dyDescent="0.25">
      <c r="B36" s="103" t="s">
        <v>88</v>
      </c>
      <c r="C36" s="104">
        <v>55128337</v>
      </c>
      <c r="D36" s="105">
        <f>C36-E36-F36-G36</f>
        <v>45763444</v>
      </c>
      <c r="E36" s="105">
        <v>2479598</v>
      </c>
      <c r="F36" s="105"/>
      <c r="G36" s="105">
        <v>6885295</v>
      </c>
      <c r="H36" s="104">
        <v>80374872</v>
      </c>
      <c r="I36" s="105">
        <f>H36-J36-K36-L36</f>
        <v>55096225</v>
      </c>
      <c r="J36" s="105">
        <v>6471038</v>
      </c>
      <c r="K36" s="105">
        <v>18807609</v>
      </c>
      <c r="L36" s="105"/>
    </row>
    <row r="37" spans="2:12" x14ac:dyDescent="0.25">
      <c r="B37" s="103" t="s">
        <v>89</v>
      </c>
      <c r="C37" s="104">
        <v>74226044</v>
      </c>
      <c r="D37" s="105">
        <f>C37-E37-F37-G37</f>
        <v>61197965</v>
      </c>
      <c r="E37" s="105">
        <v>3938862</v>
      </c>
      <c r="F37" s="105"/>
      <c r="G37" s="105">
        <v>9089217</v>
      </c>
      <c r="H37" s="104">
        <v>113845146</v>
      </c>
      <c r="I37" s="105">
        <f>H37-J37-K37-L37</f>
        <v>69559259</v>
      </c>
      <c r="J37" s="105">
        <v>10982846</v>
      </c>
      <c r="K37" s="105">
        <v>33303041</v>
      </c>
      <c r="L37" s="105"/>
    </row>
    <row r="38" spans="2:12" x14ac:dyDescent="0.25">
      <c r="B38" s="103" t="s">
        <v>90</v>
      </c>
      <c r="C38" s="104">
        <v>15891155</v>
      </c>
      <c r="D38" s="105">
        <f>C38-E38-F38-G38</f>
        <v>13294745</v>
      </c>
      <c r="E38" s="105">
        <v>314540</v>
      </c>
      <c r="F38" s="105"/>
      <c r="G38" s="105">
        <v>2281870</v>
      </c>
      <c r="H38" s="104">
        <v>21672200</v>
      </c>
      <c r="I38" s="105">
        <f>H38-J38-K38-L38</f>
        <v>14433219</v>
      </c>
      <c r="J38" s="105">
        <v>1006518</v>
      </c>
      <c r="K38" s="105">
        <v>6232463</v>
      </c>
      <c r="L38" s="105"/>
    </row>
    <row r="39" spans="2:12" x14ac:dyDescent="0.25">
      <c r="B39" s="106" t="s">
        <v>91</v>
      </c>
      <c r="C39" s="104">
        <v>5359425</v>
      </c>
      <c r="D39" s="105">
        <f>C39-E39-F39-G39</f>
        <v>4624582</v>
      </c>
      <c r="E39" s="105"/>
      <c r="F39" s="105"/>
      <c r="G39" s="105">
        <v>734843</v>
      </c>
      <c r="H39" s="104">
        <v>9842228</v>
      </c>
      <c r="I39" s="105">
        <f>H39-J39-K39-L39</f>
        <v>5707923</v>
      </c>
      <c r="J39" s="105">
        <v>1221092</v>
      </c>
      <c r="K39" s="105">
        <v>2913213</v>
      </c>
      <c r="L39" s="105"/>
    </row>
    <row r="40" spans="2:12" x14ac:dyDescent="0.25">
      <c r="B40" s="103" t="s">
        <v>92</v>
      </c>
      <c r="C40" s="104">
        <v>8611874</v>
      </c>
      <c r="D40" s="105">
        <f>C40-E40-F40-G40</f>
        <v>6945877</v>
      </c>
      <c r="E40" s="105">
        <v>495516</v>
      </c>
      <c r="F40" s="105"/>
      <c r="G40" s="105">
        <v>1170481</v>
      </c>
      <c r="H40" s="104">
        <v>11583505</v>
      </c>
      <c r="I40" s="105">
        <f>H40-J40-K40-L40</f>
        <v>7655048</v>
      </c>
      <c r="J40" s="105">
        <v>1113730</v>
      </c>
      <c r="K40" s="105">
        <v>2814727</v>
      </c>
      <c r="L40" s="105"/>
    </row>
    <row r="41" spans="2:12" x14ac:dyDescent="0.25">
      <c r="B41" s="103"/>
      <c r="C41" s="104"/>
      <c r="D41" s="105"/>
      <c r="E41" s="105"/>
      <c r="F41" s="105"/>
      <c r="G41" s="105"/>
      <c r="H41" s="104"/>
      <c r="I41" s="105"/>
      <c r="J41" s="105"/>
      <c r="K41" s="105"/>
      <c r="L41" s="105"/>
    </row>
    <row r="42" spans="2:12" x14ac:dyDescent="0.25">
      <c r="C42" s="93">
        <v>159216835</v>
      </c>
      <c r="H42">
        <v>237317951</v>
      </c>
    </row>
    <row r="43" spans="2:12" x14ac:dyDescent="0.25">
      <c r="E43" s="107"/>
    </row>
    <row r="45" spans="2:12" x14ac:dyDescent="0.25">
      <c r="B45" s="137"/>
      <c r="C45" s="138" t="s">
        <v>97</v>
      </c>
      <c r="D45" s="140" t="s">
        <v>82</v>
      </c>
      <c r="E45" s="141"/>
      <c r="F45" s="141"/>
      <c r="G45" s="142"/>
      <c r="H45" s="138" t="s">
        <v>98</v>
      </c>
      <c r="I45" s="140" t="s">
        <v>82</v>
      </c>
      <c r="J45" s="141"/>
      <c r="K45" s="141"/>
      <c r="L45" s="142"/>
    </row>
    <row r="46" spans="2:12" ht="38.25" x14ac:dyDescent="0.25">
      <c r="B46" s="137"/>
      <c r="C46" s="139"/>
      <c r="D46" s="98" t="s">
        <v>84</v>
      </c>
      <c r="E46" s="98" t="s">
        <v>85</v>
      </c>
      <c r="F46" s="98" t="s">
        <v>86</v>
      </c>
      <c r="G46" s="99" t="s">
        <v>87</v>
      </c>
      <c r="H46" s="139"/>
      <c r="I46" s="98" t="s">
        <v>84</v>
      </c>
      <c r="J46" s="98" t="s">
        <v>85</v>
      </c>
      <c r="K46" s="98" t="s">
        <v>86</v>
      </c>
      <c r="L46" s="99" t="s">
        <v>87</v>
      </c>
    </row>
    <row r="47" spans="2:12" x14ac:dyDescent="0.25">
      <c r="B47" s="100"/>
      <c r="C47" s="101"/>
      <c r="D47" s="77"/>
      <c r="E47" s="77"/>
      <c r="F47" s="77"/>
      <c r="G47" s="77"/>
      <c r="H47" s="101"/>
      <c r="I47" s="77"/>
      <c r="J47" s="77"/>
      <c r="K47" s="77"/>
      <c r="L47" s="77"/>
    </row>
    <row r="48" spans="2:12" x14ac:dyDescent="0.25">
      <c r="B48" s="103" t="s">
        <v>50</v>
      </c>
      <c r="C48" s="104">
        <f t="shared" ref="C48:L48" si="3">C49+C50+C51+C52+C53</f>
        <v>140424043</v>
      </c>
      <c r="D48" s="105">
        <f t="shared" si="3"/>
        <v>133949817</v>
      </c>
      <c r="E48" s="105">
        <f t="shared" si="3"/>
        <v>6474226</v>
      </c>
      <c r="F48" s="105">
        <f t="shared" si="3"/>
        <v>0</v>
      </c>
      <c r="G48" s="105">
        <f t="shared" si="3"/>
        <v>0</v>
      </c>
      <c r="H48" s="104">
        <f t="shared" si="3"/>
        <v>150787404</v>
      </c>
      <c r="I48" s="105">
        <f t="shared" si="3"/>
        <v>139293638</v>
      </c>
      <c r="J48" s="105">
        <f t="shared" si="3"/>
        <v>11493766</v>
      </c>
      <c r="K48" s="105">
        <f t="shared" si="3"/>
        <v>0</v>
      </c>
      <c r="L48" s="105">
        <f t="shared" si="3"/>
        <v>0</v>
      </c>
    </row>
    <row r="49" spans="2:14" x14ac:dyDescent="0.25">
      <c r="B49" s="103" t="s">
        <v>88</v>
      </c>
      <c r="C49" s="104">
        <v>52832530</v>
      </c>
      <c r="D49" s="105">
        <f>C49-E49-F49-G49</f>
        <v>50245176</v>
      </c>
      <c r="E49" s="105">
        <v>2587354</v>
      </c>
      <c r="F49" s="105"/>
      <c r="G49" s="105"/>
      <c r="H49" s="104">
        <v>52476159</v>
      </c>
      <c r="I49" s="105">
        <f>H49-J49-K49-L49</f>
        <v>49480963</v>
      </c>
      <c r="J49" s="105">
        <v>2995196</v>
      </c>
      <c r="K49" s="105"/>
      <c r="L49" s="105"/>
    </row>
    <row r="50" spans="2:14" x14ac:dyDescent="0.25">
      <c r="B50" s="103" t="s">
        <v>89</v>
      </c>
      <c r="C50" s="104">
        <v>64638893</v>
      </c>
      <c r="D50" s="105">
        <f>C50-E50-F50-G50</f>
        <v>61127943</v>
      </c>
      <c r="E50" s="105">
        <v>3510950</v>
      </c>
      <c r="F50" s="105"/>
      <c r="G50" s="105"/>
      <c r="H50" s="104">
        <v>70618146</v>
      </c>
      <c r="I50" s="105">
        <f>H50-J50-K50-L50</f>
        <v>64209822</v>
      </c>
      <c r="J50" s="105">
        <v>6408324</v>
      </c>
      <c r="K50" s="105"/>
      <c r="L50" s="105"/>
    </row>
    <row r="51" spans="2:14" x14ac:dyDescent="0.25">
      <c r="B51" s="103" t="s">
        <v>90</v>
      </c>
      <c r="C51" s="104">
        <v>12826266</v>
      </c>
      <c r="D51" s="105">
        <f>C51-E51-F51-G51</f>
        <v>12573982</v>
      </c>
      <c r="E51" s="105">
        <v>252284</v>
      </c>
      <c r="F51" s="105"/>
      <c r="G51" s="105"/>
      <c r="H51" s="104">
        <v>14504702</v>
      </c>
      <c r="I51" s="105">
        <f>H51-J51-K51-L51</f>
        <v>13875622</v>
      </c>
      <c r="J51" s="105">
        <v>629080</v>
      </c>
      <c r="K51" s="105"/>
      <c r="L51" s="105"/>
    </row>
    <row r="52" spans="2:14" x14ac:dyDescent="0.25">
      <c r="B52" s="106" t="s">
        <v>91</v>
      </c>
      <c r="C52" s="104">
        <v>3880011</v>
      </c>
      <c r="D52" s="105">
        <f>C52-E52-F52-G52</f>
        <v>3880011</v>
      </c>
      <c r="E52" s="105"/>
      <c r="F52" s="105"/>
      <c r="G52" s="105"/>
      <c r="H52" s="104">
        <v>7239296</v>
      </c>
      <c r="I52" s="105">
        <f>H52-J52-K52-L52</f>
        <v>5965112</v>
      </c>
      <c r="J52" s="105">
        <v>1274184</v>
      </c>
      <c r="K52" s="105"/>
      <c r="L52" s="105"/>
    </row>
    <row r="53" spans="2:14" x14ac:dyDescent="0.25">
      <c r="B53" s="103" t="s">
        <v>92</v>
      </c>
      <c r="C53" s="104">
        <v>6246343</v>
      </c>
      <c r="D53" s="105">
        <f>C53-E53-F53-G53</f>
        <v>6122705</v>
      </c>
      <c r="E53" s="105">
        <v>123638</v>
      </c>
      <c r="F53" s="105"/>
      <c r="G53" s="105"/>
      <c r="H53" s="104">
        <v>5949101</v>
      </c>
      <c r="I53" s="105">
        <f>H53-J53-K53-L53</f>
        <v>5762119</v>
      </c>
      <c r="J53" s="105">
        <v>186982</v>
      </c>
      <c r="K53" s="105"/>
      <c r="L53" s="105"/>
    </row>
    <row r="54" spans="2:14" x14ac:dyDescent="0.25">
      <c r="B54" s="103"/>
      <c r="C54" s="104"/>
      <c r="D54" s="105"/>
      <c r="E54" s="105"/>
      <c r="F54" s="105"/>
      <c r="G54" s="105"/>
      <c r="H54" s="104"/>
      <c r="I54" s="105"/>
      <c r="J54" s="105"/>
      <c r="K54" s="105"/>
      <c r="L54" s="105"/>
    </row>
    <row r="55" spans="2:14" x14ac:dyDescent="0.25">
      <c r="C55" s="93">
        <v>140424043</v>
      </c>
      <c r="H55">
        <v>150787404</v>
      </c>
    </row>
    <row r="58" spans="2:14" x14ac:dyDescent="0.25">
      <c r="B58" s="137"/>
      <c r="C58" s="138" t="s">
        <v>99</v>
      </c>
      <c r="D58" s="140" t="s">
        <v>82</v>
      </c>
      <c r="E58" s="141"/>
      <c r="F58" s="141"/>
      <c r="G58" s="142"/>
      <c r="H58" s="143" t="s">
        <v>100</v>
      </c>
      <c r="I58" s="135" t="s">
        <v>82</v>
      </c>
      <c r="J58" s="135"/>
      <c r="K58" s="135"/>
      <c r="L58" s="135"/>
    </row>
    <row r="59" spans="2:14" ht="38.25" x14ac:dyDescent="0.25">
      <c r="B59" s="137"/>
      <c r="C59" s="139"/>
      <c r="D59" s="98" t="s">
        <v>84</v>
      </c>
      <c r="E59" s="98" t="s">
        <v>85</v>
      </c>
      <c r="F59" s="98" t="s">
        <v>86</v>
      </c>
      <c r="G59" s="99" t="s">
        <v>87</v>
      </c>
      <c r="H59" s="143"/>
      <c r="I59" s="98" t="s">
        <v>84</v>
      </c>
      <c r="J59" s="98" t="s">
        <v>85</v>
      </c>
      <c r="K59" s="98" t="s">
        <v>86</v>
      </c>
      <c r="L59" s="99" t="s">
        <v>87</v>
      </c>
    </row>
    <row r="60" spans="2:14" x14ac:dyDescent="0.25">
      <c r="B60" s="100"/>
      <c r="C60" s="101"/>
      <c r="D60" s="77"/>
      <c r="E60" s="77"/>
      <c r="F60" s="77"/>
      <c r="G60" s="77"/>
      <c r="H60" s="108"/>
      <c r="I60" s="77"/>
      <c r="J60" s="77"/>
      <c r="K60" s="77"/>
      <c r="L60" s="77"/>
    </row>
    <row r="61" spans="2:14" x14ac:dyDescent="0.25">
      <c r="B61" s="103" t="s">
        <v>50</v>
      </c>
      <c r="C61" s="104">
        <f t="shared" ref="C61:C66" si="4">H48+C48+H35+C35+H22+C22+H9+C9</f>
        <v>1385424225</v>
      </c>
      <c r="D61" s="105">
        <f>D62+D63+D64+D65+D66</f>
        <v>1085259194</v>
      </c>
      <c r="E61" s="105">
        <f>E62+E63+E64+E65+E66</f>
        <v>85957597</v>
      </c>
      <c r="F61" s="105">
        <f>F62+F63+F64+F65+F66</f>
        <v>124762840</v>
      </c>
      <c r="G61" s="105">
        <f>G62+G63+G64+G65+G66</f>
        <v>89444594</v>
      </c>
      <c r="H61" s="104">
        <f t="shared" ref="H61:H66" si="5">C61/8</f>
        <v>173178028.125</v>
      </c>
      <c r="I61" s="109">
        <f t="shared" ref="I61:L66" si="6">D61/8</f>
        <v>135657399.25</v>
      </c>
      <c r="J61" s="109">
        <f t="shared" si="6"/>
        <v>10744699.625</v>
      </c>
      <c r="K61" s="109">
        <f t="shared" si="6"/>
        <v>15595355</v>
      </c>
      <c r="L61" s="109">
        <f t="shared" si="6"/>
        <v>11180574.25</v>
      </c>
      <c r="N61" s="107">
        <f>D61+F61</f>
        <v>1210022034</v>
      </c>
    </row>
    <row r="62" spans="2:14" x14ac:dyDescent="0.25">
      <c r="B62" s="103" t="s">
        <v>88</v>
      </c>
      <c r="C62" s="104">
        <f t="shared" si="4"/>
        <v>459690665</v>
      </c>
      <c r="D62" s="105">
        <f>C62-E62-F62-G62</f>
        <v>370736563</v>
      </c>
      <c r="E62" s="109">
        <f t="shared" ref="E62:G66" si="7">J49+E49+J36+E36+J23+E23+J10+E10</f>
        <v>23715089</v>
      </c>
      <c r="F62" s="109">
        <f t="shared" si="7"/>
        <v>35868457</v>
      </c>
      <c r="G62" s="109">
        <f t="shared" si="7"/>
        <v>29370556</v>
      </c>
      <c r="H62" s="104">
        <f t="shared" si="5"/>
        <v>57461333.125</v>
      </c>
      <c r="I62" s="109">
        <f t="shared" si="6"/>
        <v>46342070.375</v>
      </c>
      <c r="J62" s="109">
        <f t="shared" si="6"/>
        <v>2964386.125</v>
      </c>
      <c r="K62" s="109">
        <f t="shared" si="6"/>
        <v>4483557.125</v>
      </c>
      <c r="L62" s="109">
        <f t="shared" si="6"/>
        <v>3671319.5</v>
      </c>
    </row>
    <row r="63" spans="2:14" x14ac:dyDescent="0.25">
      <c r="B63" s="103" t="s">
        <v>89</v>
      </c>
      <c r="C63" s="104">
        <f t="shared" si="4"/>
        <v>660035040</v>
      </c>
      <c r="D63" s="105">
        <f>C63-E63-F63-G63</f>
        <v>506154318</v>
      </c>
      <c r="E63" s="109">
        <f t="shared" si="7"/>
        <v>48968518</v>
      </c>
      <c r="F63" s="109">
        <f t="shared" si="7"/>
        <v>65262460</v>
      </c>
      <c r="G63" s="109">
        <f t="shared" si="7"/>
        <v>39649744</v>
      </c>
      <c r="H63" s="104">
        <f t="shared" si="5"/>
        <v>82504380</v>
      </c>
      <c r="I63" s="109">
        <f t="shared" si="6"/>
        <v>63269289.75</v>
      </c>
      <c r="J63" s="109">
        <f t="shared" si="6"/>
        <v>6121064.75</v>
      </c>
      <c r="K63" s="109">
        <f t="shared" si="6"/>
        <v>8157807.5</v>
      </c>
      <c r="L63" s="109">
        <f t="shared" si="6"/>
        <v>4956218</v>
      </c>
    </row>
    <row r="64" spans="2:14" x14ac:dyDescent="0.25">
      <c r="B64" s="103" t="s">
        <v>90</v>
      </c>
      <c r="C64" s="104">
        <f t="shared" si="4"/>
        <v>142900289</v>
      </c>
      <c r="D64" s="105">
        <f>C64-E64-F64-G64</f>
        <v>113967992</v>
      </c>
      <c r="E64" s="109">
        <f t="shared" si="7"/>
        <v>5287844</v>
      </c>
      <c r="F64" s="109">
        <f t="shared" si="7"/>
        <v>12588034</v>
      </c>
      <c r="G64" s="109">
        <f t="shared" si="7"/>
        <v>11056419</v>
      </c>
      <c r="H64" s="104">
        <f t="shared" si="5"/>
        <v>17862536.125</v>
      </c>
      <c r="I64" s="109">
        <f t="shared" si="6"/>
        <v>14245999</v>
      </c>
      <c r="J64" s="109">
        <f t="shared" si="6"/>
        <v>660980.5</v>
      </c>
      <c r="K64" s="109">
        <f t="shared" si="6"/>
        <v>1573504.25</v>
      </c>
      <c r="L64" s="109">
        <f t="shared" si="6"/>
        <v>1382052.375</v>
      </c>
    </row>
    <row r="65" spans="2:12" x14ac:dyDescent="0.25">
      <c r="B65" s="106" t="s">
        <v>91</v>
      </c>
      <c r="C65" s="104">
        <f t="shared" si="4"/>
        <v>55067168</v>
      </c>
      <c r="D65" s="105">
        <f>C65-E65-F65-G65</f>
        <v>41559564</v>
      </c>
      <c r="E65" s="109">
        <f t="shared" si="7"/>
        <v>4430012</v>
      </c>
      <c r="F65" s="109">
        <f t="shared" si="7"/>
        <v>5355346</v>
      </c>
      <c r="G65" s="109">
        <f t="shared" si="7"/>
        <v>3722246</v>
      </c>
      <c r="H65" s="104">
        <f t="shared" si="5"/>
        <v>6883396</v>
      </c>
      <c r="I65" s="109">
        <f t="shared" si="6"/>
        <v>5194945.5</v>
      </c>
      <c r="J65" s="109">
        <f t="shared" si="6"/>
        <v>553751.5</v>
      </c>
      <c r="K65" s="109">
        <f t="shared" si="6"/>
        <v>669418.25</v>
      </c>
      <c r="L65" s="109">
        <f t="shared" si="6"/>
        <v>465280.75</v>
      </c>
    </row>
    <row r="66" spans="2:12" x14ac:dyDescent="0.25">
      <c r="B66" s="103" t="s">
        <v>92</v>
      </c>
      <c r="C66" s="104">
        <f t="shared" si="4"/>
        <v>67731063</v>
      </c>
      <c r="D66" s="105">
        <f>C66-E66-F66-G66</f>
        <v>52840757</v>
      </c>
      <c r="E66" s="109">
        <f t="shared" si="7"/>
        <v>3556134</v>
      </c>
      <c r="F66" s="109">
        <f t="shared" si="7"/>
        <v>5688543</v>
      </c>
      <c r="G66" s="109">
        <f t="shared" si="7"/>
        <v>5645629</v>
      </c>
      <c r="H66" s="104">
        <f t="shared" si="5"/>
        <v>8466382.875</v>
      </c>
      <c r="I66" s="109">
        <f t="shared" si="6"/>
        <v>6605094.625</v>
      </c>
      <c r="J66" s="109">
        <f t="shared" si="6"/>
        <v>444516.75</v>
      </c>
      <c r="K66" s="109">
        <f t="shared" si="6"/>
        <v>711067.875</v>
      </c>
      <c r="L66" s="109">
        <f t="shared" si="6"/>
        <v>705703.625</v>
      </c>
    </row>
    <row r="67" spans="2:12" x14ac:dyDescent="0.25">
      <c r="B67" s="103"/>
      <c r="C67" s="104"/>
      <c r="D67" s="105"/>
      <c r="E67" s="105"/>
      <c r="F67" s="105"/>
      <c r="G67" s="105"/>
      <c r="H67" s="108"/>
      <c r="I67" s="77"/>
      <c r="J67" s="77"/>
      <c r="K67" s="77"/>
      <c r="L67" s="77"/>
    </row>
    <row r="69" spans="2:12" ht="45" customHeight="1" x14ac:dyDescent="0.25">
      <c r="B69" s="136" t="s">
        <v>101</v>
      </c>
      <c r="C69" s="136"/>
    </row>
    <row r="71" spans="2:12" ht="44.25" customHeight="1" x14ac:dyDescent="0.25">
      <c r="B71" s="100"/>
      <c r="C71" s="110" t="s">
        <v>66</v>
      </c>
      <c r="D71" s="110" t="s">
        <v>67</v>
      </c>
      <c r="E71" s="110" t="s">
        <v>68</v>
      </c>
      <c r="F71" s="110" t="s">
        <v>69</v>
      </c>
      <c r="G71" s="110" t="s">
        <v>70</v>
      </c>
      <c r="H71" s="110" t="s">
        <v>33</v>
      </c>
      <c r="I71" s="110" t="s">
        <v>71</v>
      </c>
      <c r="J71" s="110" t="s">
        <v>72</v>
      </c>
      <c r="K71" s="110" t="s">
        <v>50</v>
      </c>
    </row>
    <row r="72" spans="2:12" x14ac:dyDescent="0.25">
      <c r="B72" s="100"/>
      <c r="C72" s="100"/>
      <c r="D72" s="100"/>
      <c r="E72" s="100"/>
      <c r="F72" s="100"/>
      <c r="G72" s="100"/>
      <c r="H72" s="100"/>
      <c r="I72" s="100"/>
      <c r="J72" s="100"/>
      <c r="K72" s="100"/>
    </row>
    <row r="73" spans="2:12" x14ac:dyDescent="0.25">
      <c r="B73" s="103" t="s">
        <v>50</v>
      </c>
      <c r="C73" s="111">
        <f t="shared" ref="C73:C78" si="8">C9</f>
        <v>151386822</v>
      </c>
      <c r="D73" s="111">
        <f t="shared" ref="D73:D78" si="9">H9</f>
        <v>143058205</v>
      </c>
      <c r="E73" s="111">
        <f t="shared" ref="E73:E78" si="10">C22</f>
        <v>238724830</v>
      </c>
      <c r="F73" s="111">
        <f t="shared" ref="F73:F78" si="11">H22</f>
        <v>164508135</v>
      </c>
      <c r="G73" s="111">
        <f t="shared" ref="G73:G78" si="12">C35</f>
        <v>159216835</v>
      </c>
      <c r="H73" s="111">
        <f t="shared" ref="H73:H78" si="13">H35</f>
        <v>237317951</v>
      </c>
      <c r="I73" s="111">
        <f t="shared" ref="I73:I78" si="14">C48</f>
        <v>140424043</v>
      </c>
      <c r="J73" s="111">
        <f t="shared" ref="J73:J78" si="15">H48</f>
        <v>150787404</v>
      </c>
      <c r="K73" s="111">
        <f t="shared" ref="K73:K78" si="16">C73+D73+E73+F73+G73+H73+I73+J73</f>
        <v>1385424225</v>
      </c>
    </row>
    <row r="74" spans="2:12" x14ac:dyDescent="0.25">
      <c r="B74" s="103" t="s">
        <v>88</v>
      </c>
      <c r="C74" s="111">
        <f t="shared" si="8"/>
        <v>41333502</v>
      </c>
      <c r="D74" s="111">
        <f t="shared" si="9"/>
        <v>45572402</v>
      </c>
      <c r="E74" s="111">
        <f t="shared" si="10"/>
        <v>76991588</v>
      </c>
      <c r="F74" s="111">
        <f t="shared" si="11"/>
        <v>54981275</v>
      </c>
      <c r="G74" s="111">
        <f t="shared" si="12"/>
        <v>55128337</v>
      </c>
      <c r="H74" s="111">
        <f t="shared" si="13"/>
        <v>80374872</v>
      </c>
      <c r="I74" s="111">
        <f t="shared" si="14"/>
        <v>52832530</v>
      </c>
      <c r="J74" s="111">
        <f t="shared" si="15"/>
        <v>52476159</v>
      </c>
      <c r="K74" s="111">
        <f t="shared" si="16"/>
        <v>459690665</v>
      </c>
    </row>
    <row r="75" spans="2:12" x14ac:dyDescent="0.25">
      <c r="B75" s="103" t="s">
        <v>89</v>
      </c>
      <c r="C75" s="111">
        <f t="shared" si="8"/>
        <v>79684967</v>
      </c>
      <c r="D75" s="111">
        <f t="shared" si="9"/>
        <v>68507608</v>
      </c>
      <c r="E75" s="111">
        <f t="shared" si="10"/>
        <v>113654386</v>
      </c>
      <c r="F75" s="111">
        <f t="shared" si="11"/>
        <v>74859850</v>
      </c>
      <c r="G75" s="111">
        <f t="shared" si="12"/>
        <v>74226044</v>
      </c>
      <c r="H75" s="111">
        <f t="shared" si="13"/>
        <v>113845146</v>
      </c>
      <c r="I75" s="111">
        <f t="shared" si="14"/>
        <v>64638893</v>
      </c>
      <c r="J75" s="111">
        <f t="shared" si="15"/>
        <v>70618146</v>
      </c>
      <c r="K75" s="111">
        <f t="shared" si="16"/>
        <v>660035040</v>
      </c>
    </row>
    <row r="76" spans="2:12" x14ac:dyDescent="0.25">
      <c r="B76" s="103" t="s">
        <v>90</v>
      </c>
      <c r="C76" s="111">
        <f t="shared" si="8"/>
        <v>19073927</v>
      </c>
      <c r="D76" s="111">
        <f t="shared" si="9"/>
        <v>15818276</v>
      </c>
      <c r="E76" s="111">
        <f t="shared" si="10"/>
        <v>25121630</v>
      </c>
      <c r="F76" s="111">
        <f t="shared" si="11"/>
        <v>17992133</v>
      </c>
      <c r="G76" s="111">
        <f t="shared" si="12"/>
        <v>15891155</v>
      </c>
      <c r="H76" s="111">
        <f t="shared" si="13"/>
        <v>21672200</v>
      </c>
      <c r="I76" s="111">
        <f t="shared" si="14"/>
        <v>12826266</v>
      </c>
      <c r="J76" s="111">
        <f t="shared" si="15"/>
        <v>14504702</v>
      </c>
      <c r="K76" s="111">
        <f t="shared" si="16"/>
        <v>142900289</v>
      </c>
    </row>
    <row r="77" spans="2:12" x14ac:dyDescent="0.25">
      <c r="B77" s="106" t="s">
        <v>91</v>
      </c>
      <c r="C77" s="111">
        <f t="shared" si="8"/>
        <v>4372076</v>
      </c>
      <c r="D77" s="111">
        <f t="shared" si="9"/>
        <v>6241704</v>
      </c>
      <c r="E77" s="111">
        <f t="shared" si="10"/>
        <v>10113503</v>
      </c>
      <c r="F77" s="111">
        <f t="shared" si="11"/>
        <v>8018925</v>
      </c>
      <c r="G77" s="111">
        <f t="shared" si="12"/>
        <v>5359425</v>
      </c>
      <c r="H77" s="111">
        <f t="shared" si="13"/>
        <v>9842228</v>
      </c>
      <c r="I77" s="111">
        <f t="shared" si="14"/>
        <v>3880011</v>
      </c>
      <c r="J77" s="111">
        <f t="shared" si="15"/>
        <v>7239296</v>
      </c>
      <c r="K77" s="111">
        <f t="shared" si="16"/>
        <v>55067168</v>
      </c>
    </row>
    <row r="78" spans="2:12" x14ac:dyDescent="0.25">
      <c r="B78" s="103" t="s">
        <v>92</v>
      </c>
      <c r="C78" s="111">
        <f t="shared" si="8"/>
        <v>6922350</v>
      </c>
      <c r="D78" s="111">
        <f t="shared" si="9"/>
        <v>6918215</v>
      </c>
      <c r="E78" s="111">
        <f t="shared" si="10"/>
        <v>12843723</v>
      </c>
      <c r="F78" s="111">
        <f t="shared" si="11"/>
        <v>8655952</v>
      </c>
      <c r="G78" s="111">
        <f t="shared" si="12"/>
        <v>8611874</v>
      </c>
      <c r="H78" s="111">
        <f t="shared" si="13"/>
        <v>11583505</v>
      </c>
      <c r="I78" s="111">
        <f t="shared" si="14"/>
        <v>6246343</v>
      </c>
      <c r="J78" s="111">
        <f t="shared" si="15"/>
        <v>5949101</v>
      </c>
      <c r="K78" s="111">
        <f t="shared" si="16"/>
        <v>67731063</v>
      </c>
    </row>
    <row r="79" spans="2:12" x14ac:dyDescent="0.25">
      <c r="B79" s="103"/>
      <c r="C79" s="100"/>
      <c r="D79" s="100"/>
      <c r="E79" s="100"/>
      <c r="F79" s="100"/>
      <c r="G79" s="100"/>
      <c r="H79" s="100"/>
      <c r="I79" s="100"/>
      <c r="J79" s="100"/>
      <c r="K79" s="100"/>
    </row>
  </sheetData>
  <mergeCells count="26">
    <mergeCell ref="B19:B20"/>
    <mergeCell ref="C19:C20"/>
    <mergeCell ref="D19:G19"/>
    <mergeCell ref="H19:H20"/>
    <mergeCell ref="I19:L19"/>
    <mergeCell ref="B6:B7"/>
    <mergeCell ref="C6:C7"/>
    <mergeCell ref="D6:G6"/>
    <mergeCell ref="H6:H7"/>
    <mergeCell ref="I6:L6"/>
    <mergeCell ref="I58:L58"/>
    <mergeCell ref="B69:C69"/>
    <mergeCell ref="B32:B33"/>
    <mergeCell ref="C32:C33"/>
    <mergeCell ref="D32:G32"/>
    <mergeCell ref="H32:H33"/>
    <mergeCell ref="B58:B59"/>
    <mergeCell ref="C58:C59"/>
    <mergeCell ref="D58:G58"/>
    <mergeCell ref="H58:H59"/>
    <mergeCell ref="I32:L32"/>
    <mergeCell ref="B45:B46"/>
    <mergeCell ref="C45:C46"/>
    <mergeCell ref="D45:G45"/>
    <mergeCell ref="H45:H46"/>
    <mergeCell ref="I45:L45"/>
  </mergeCells>
  <pageMargins left="0.7" right="0.7" top="0.75" bottom="0.75" header="0.3" footer="0.3"/>
  <pageSetup paperSize="9" scale="7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workbookViewId="0">
      <selection activeCell="G11" sqref="G11"/>
    </sheetView>
  </sheetViews>
  <sheetFormatPr defaultRowHeight="15" x14ac:dyDescent="0.25"/>
  <cols>
    <col min="3" max="3" width="21.140625" customWidth="1"/>
    <col min="4" max="4" width="14.85546875" customWidth="1"/>
    <col min="5" max="5" width="16.7109375" customWidth="1"/>
    <col min="6" max="6" width="17.42578125" customWidth="1"/>
    <col min="7" max="7" width="20.85546875" customWidth="1"/>
  </cols>
  <sheetData>
    <row r="3" spans="2:7" ht="25.5" customHeight="1" x14ac:dyDescent="0.25">
      <c r="B3" s="116" t="s">
        <v>102</v>
      </c>
      <c r="C3" s="116"/>
    </row>
    <row r="5" spans="2:7" ht="26.25" customHeight="1" x14ac:dyDescent="0.25">
      <c r="B5" s="115" t="s">
        <v>103</v>
      </c>
      <c r="C5" s="115" t="s">
        <v>104</v>
      </c>
      <c r="D5" s="115" t="s">
        <v>105</v>
      </c>
      <c r="E5" s="115" t="s">
        <v>106</v>
      </c>
      <c r="F5" s="115" t="s">
        <v>107</v>
      </c>
      <c r="G5" s="115" t="s">
        <v>154</v>
      </c>
    </row>
    <row r="6" spans="2:7" ht="27.75" customHeight="1" x14ac:dyDescent="0.25">
      <c r="B6" s="77">
        <v>1</v>
      </c>
      <c r="C6" s="77" t="s">
        <v>108</v>
      </c>
      <c r="D6" s="77">
        <v>15575200</v>
      </c>
      <c r="E6" s="77">
        <v>15575200</v>
      </c>
      <c r="F6" s="77">
        <v>15575200</v>
      </c>
      <c r="G6" s="77">
        <v>0</v>
      </c>
    </row>
    <row r="7" spans="2:7" ht="65.25" customHeight="1" x14ac:dyDescent="0.25">
      <c r="B7" s="77">
        <v>2</v>
      </c>
      <c r="C7" s="113" t="s">
        <v>109</v>
      </c>
      <c r="D7" s="77">
        <v>38640000</v>
      </c>
      <c r="E7" s="77">
        <v>13617792.9</v>
      </c>
      <c r="F7" s="77">
        <v>7620235.46</v>
      </c>
      <c r="G7" s="77">
        <v>5997557.4400000004</v>
      </c>
    </row>
    <row r="8" spans="2:7" x14ac:dyDescent="0.25">
      <c r="B8" s="77"/>
      <c r="C8" s="77"/>
      <c r="D8" s="77"/>
      <c r="E8" s="77"/>
      <c r="F8" s="77"/>
      <c r="G8" s="77"/>
    </row>
    <row r="9" spans="2:7" ht="27" customHeight="1" x14ac:dyDescent="0.25">
      <c r="B9" s="77"/>
      <c r="C9" s="114" t="s">
        <v>110</v>
      </c>
      <c r="D9" s="114">
        <f>SUM(D6:D8)</f>
        <v>54215200</v>
      </c>
      <c r="E9" s="77"/>
      <c r="F9" s="77"/>
      <c r="G9" s="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workbookViewId="0">
      <selection activeCell="D5" sqref="D5"/>
    </sheetView>
  </sheetViews>
  <sheetFormatPr defaultRowHeight="15" x14ac:dyDescent="0.25"/>
  <cols>
    <col min="1" max="1" width="21.85546875" customWidth="1"/>
    <col min="2" max="2" width="21.140625" customWidth="1"/>
    <col min="3" max="3" width="22.7109375" customWidth="1"/>
    <col min="4" max="4" width="26" customWidth="1"/>
  </cols>
  <sheetData>
    <row r="2" spans="1:4" x14ac:dyDescent="0.25">
      <c r="A2" t="s">
        <v>111</v>
      </c>
      <c r="D2" t="s">
        <v>149</v>
      </c>
    </row>
    <row r="4" spans="1:4" ht="23.25" customHeight="1" x14ac:dyDescent="0.25">
      <c r="A4" s="114" t="s">
        <v>112</v>
      </c>
      <c r="B4" s="114" t="s">
        <v>113</v>
      </c>
      <c r="C4" s="114" t="s">
        <v>114</v>
      </c>
      <c r="D4" s="114" t="s">
        <v>115</v>
      </c>
    </row>
    <row r="5" spans="1:4" ht="27.75" customHeight="1" x14ac:dyDescent="0.25">
      <c r="A5" s="77">
        <v>131030449.16</v>
      </c>
      <c r="B5" s="77">
        <v>472024630.76999998</v>
      </c>
      <c r="C5" s="77">
        <v>381425111.73000002</v>
      </c>
      <c r="D5" s="77">
        <v>221629968.19999999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F44" sqref="F44"/>
    </sheetView>
  </sheetViews>
  <sheetFormatPr defaultRowHeight="15" x14ac:dyDescent="0.25"/>
  <cols>
    <col min="1" max="1" width="7.140625" customWidth="1"/>
    <col min="2" max="2" width="31.5703125" customWidth="1"/>
    <col min="3" max="3" width="18.5703125" customWidth="1"/>
    <col min="4" max="4" width="20.140625" customWidth="1"/>
    <col min="5" max="5" width="14.7109375" customWidth="1"/>
    <col min="6" max="6" width="9.85546875" bestFit="1" customWidth="1"/>
  </cols>
  <sheetData>
    <row r="1" spans="1:6" ht="41.25" customHeight="1" x14ac:dyDescent="0.25">
      <c r="A1" s="117" t="s">
        <v>103</v>
      </c>
      <c r="B1" s="117" t="s">
        <v>104</v>
      </c>
      <c r="C1" s="117" t="s">
        <v>116</v>
      </c>
      <c r="D1" s="117" t="s">
        <v>117</v>
      </c>
    </row>
    <row r="2" spans="1:6" ht="41.25" customHeight="1" x14ac:dyDescent="0.25">
      <c r="A2" s="117">
        <v>1</v>
      </c>
      <c r="B2" s="117" t="s">
        <v>118</v>
      </c>
      <c r="C2" s="125" t="s">
        <v>150</v>
      </c>
      <c r="D2" s="117">
        <v>175138108.40000001</v>
      </c>
      <c r="E2">
        <f>D2+D3+D4</f>
        <v>379125424.24000001</v>
      </c>
    </row>
    <row r="3" spans="1:6" ht="41.25" customHeight="1" x14ac:dyDescent="0.25">
      <c r="A3" s="117"/>
      <c r="B3" s="117"/>
      <c r="C3" s="125" t="s">
        <v>151</v>
      </c>
      <c r="D3" s="117">
        <v>54081</v>
      </c>
    </row>
    <row r="4" spans="1:6" ht="41.25" customHeight="1" x14ac:dyDescent="0.25">
      <c r="A4" s="117"/>
      <c r="B4" s="117"/>
      <c r="C4" s="125" t="s">
        <v>152</v>
      </c>
      <c r="D4" s="117">
        <v>203933234.84</v>
      </c>
    </row>
    <row r="5" spans="1:6" ht="41.25" customHeight="1" x14ac:dyDescent="0.25">
      <c r="A5" s="144" t="s">
        <v>170</v>
      </c>
      <c r="B5" s="146"/>
      <c r="C5" s="145"/>
      <c r="D5" s="117"/>
    </row>
    <row r="6" spans="1:6" x14ac:dyDescent="0.25">
      <c r="A6" s="118">
        <v>2</v>
      </c>
      <c r="B6" s="119" t="s">
        <v>119</v>
      </c>
      <c r="C6" s="118">
        <v>1</v>
      </c>
      <c r="D6" s="119">
        <v>1327675</v>
      </c>
    </row>
    <row r="7" spans="1:6" x14ac:dyDescent="0.25">
      <c r="A7" s="118">
        <v>3</v>
      </c>
      <c r="B7" s="119" t="s">
        <v>120</v>
      </c>
      <c r="C7" s="118" t="s">
        <v>165</v>
      </c>
      <c r="D7" s="120">
        <v>30512346</v>
      </c>
    </row>
    <row r="8" spans="1:6" x14ac:dyDescent="0.25">
      <c r="A8" s="118">
        <v>4</v>
      </c>
      <c r="B8" s="119" t="s">
        <v>121</v>
      </c>
      <c r="C8" s="118">
        <v>1</v>
      </c>
      <c r="D8" s="120">
        <v>6454950</v>
      </c>
    </row>
    <row r="9" spans="1:6" x14ac:dyDescent="0.25">
      <c r="A9" s="118">
        <v>5</v>
      </c>
      <c r="B9" s="119" t="s">
        <v>122</v>
      </c>
      <c r="C9" s="118">
        <v>1</v>
      </c>
      <c r="D9" s="120">
        <v>4512000</v>
      </c>
    </row>
    <row r="10" spans="1:6" x14ac:dyDescent="0.25">
      <c r="A10" s="118">
        <v>6</v>
      </c>
      <c r="B10" s="119" t="s">
        <v>123</v>
      </c>
      <c r="C10" s="118" t="s">
        <v>167</v>
      </c>
      <c r="D10" s="120">
        <f>710850+5002104+381500+721900</f>
        <v>6816354</v>
      </c>
    </row>
    <row r="11" spans="1:6" x14ac:dyDescent="0.25">
      <c r="A11" s="118">
        <v>7</v>
      </c>
      <c r="B11" s="119" t="s">
        <v>124</v>
      </c>
      <c r="C11" s="118">
        <v>1.2</v>
      </c>
      <c r="D11" s="126">
        <f>1850500+67500</f>
        <v>1918000</v>
      </c>
    </row>
    <row r="12" spans="1:6" x14ac:dyDescent="0.25">
      <c r="A12" s="118">
        <v>8</v>
      </c>
      <c r="B12" s="119" t="s">
        <v>125</v>
      </c>
      <c r="C12" s="118">
        <v>1</v>
      </c>
      <c r="D12" s="120">
        <v>198000</v>
      </c>
    </row>
    <row r="13" spans="1:6" x14ac:dyDescent="0.25">
      <c r="A13" s="118">
        <v>9</v>
      </c>
      <c r="B13" s="119" t="s">
        <v>126</v>
      </c>
      <c r="C13" s="118">
        <v>1</v>
      </c>
      <c r="D13" s="120">
        <v>188000</v>
      </c>
    </row>
    <row r="14" spans="1:6" x14ac:dyDescent="0.25">
      <c r="A14" s="118">
        <v>10</v>
      </c>
      <c r="B14" s="119" t="s">
        <v>127</v>
      </c>
      <c r="C14" s="118">
        <v>2</v>
      </c>
      <c r="D14" s="120">
        <v>9601500</v>
      </c>
    </row>
    <row r="15" spans="1:6" x14ac:dyDescent="0.25">
      <c r="A15" s="118">
        <v>11</v>
      </c>
      <c r="B15" s="119" t="s">
        <v>128</v>
      </c>
      <c r="C15" s="118">
        <v>2.2999999999999998</v>
      </c>
      <c r="D15" s="126">
        <v>39180000</v>
      </c>
      <c r="F15" s="107"/>
    </row>
    <row r="16" spans="1:6" x14ac:dyDescent="0.25">
      <c r="A16" s="118">
        <v>12</v>
      </c>
      <c r="B16" s="119" t="s">
        <v>129</v>
      </c>
      <c r="C16" s="118">
        <v>2</v>
      </c>
      <c r="D16" s="122">
        <v>3636973.5</v>
      </c>
    </row>
    <row r="17" spans="1:6" x14ac:dyDescent="0.25">
      <c r="A17" s="118">
        <v>13</v>
      </c>
      <c r="B17" s="119" t="s">
        <v>130</v>
      </c>
      <c r="C17" s="118">
        <v>2</v>
      </c>
      <c r="D17" s="120">
        <v>1981200</v>
      </c>
    </row>
    <row r="18" spans="1:6" x14ac:dyDescent="0.25">
      <c r="A18" s="118">
        <v>14</v>
      </c>
      <c r="B18" s="119" t="s">
        <v>119</v>
      </c>
      <c r="C18" s="118">
        <v>2.4</v>
      </c>
      <c r="D18" s="120">
        <v>3598000</v>
      </c>
      <c r="E18" s="107"/>
    </row>
    <row r="19" spans="1:6" x14ac:dyDescent="0.25">
      <c r="A19" s="118">
        <v>15</v>
      </c>
      <c r="B19" s="119" t="s">
        <v>121</v>
      </c>
      <c r="C19" s="118" t="s">
        <v>166</v>
      </c>
      <c r="D19" s="120">
        <v>23473300</v>
      </c>
      <c r="E19" s="107"/>
      <c r="F19" s="107"/>
    </row>
    <row r="20" spans="1:6" ht="30" x14ac:dyDescent="0.25">
      <c r="A20" s="118">
        <v>16</v>
      </c>
      <c r="B20" s="121" t="s">
        <v>131</v>
      </c>
      <c r="C20" s="118">
        <v>2</v>
      </c>
      <c r="D20" s="120">
        <v>837000</v>
      </c>
    </row>
    <row r="21" spans="1:6" x14ac:dyDescent="0.25">
      <c r="A21" s="118">
        <v>17</v>
      </c>
      <c r="B21" s="119" t="s">
        <v>132</v>
      </c>
      <c r="C21" s="118">
        <v>2</v>
      </c>
      <c r="D21" s="120">
        <v>572000</v>
      </c>
    </row>
    <row r="22" spans="1:6" x14ac:dyDescent="0.25">
      <c r="A22" s="118">
        <v>18</v>
      </c>
      <c r="B22" s="119" t="s">
        <v>125</v>
      </c>
      <c r="C22" s="118">
        <v>2</v>
      </c>
      <c r="D22" s="120">
        <v>668000</v>
      </c>
    </row>
    <row r="23" spans="1:6" x14ac:dyDescent="0.25">
      <c r="A23" s="118">
        <v>19</v>
      </c>
      <c r="B23" s="119" t="s">
        <v>133</v>
      </c>
      <c r="C23" s="118">
        <v>2.4</v>
      </c>
      <c r="D23" s="120">
        <v>17718130</v>
      </c>
      <c r="E23" s="107"/>
    </row>
    <row r="24" spans="1:6" x14ac:dyDescent="0.25">
      <c r="A24" s="118">
        <v>20</v>
      </c>
      <c r="B24" s="119" t="s">
        <v>134</v>
      </c>
      <c r="C24" s="118">
        <v>3</v>
      </c>
      <c r="D24" s="120">
        <v>8984000</v>
      </c>
    </row>
    <row r="25" spans="1:6" x14ac:dyDescent="0.25">
      <c r="A25" s="118">
        <v>21</v>
      </c>
      <c r="B25" s="119" t="s">
        <v>135</v>
      </c>
      <c r="C25" s="118">
        <v>4</v>
      </c>
      <c r="D25" s="120">
        <v>4800000</v>
      </c>
    </row>
    <row r="26" spans="1:6" x14ac:dyDescent="0.25">
      <c r="A26" s="118">
        <v>22</v>
      </c>
      <c r="B26" s="119" t="s">
        <v>136</v>
      </c>
      <c r="C26" s="118">
        <v>4</v>
      </c>
      <c r="D26" s="120">
        <v>10800000</v>
      </c>
    </row>
    <row r="27" spans="1:6" x14ac:dyDescent="0.25">
      <c r="A27" s="118">
        <v>23</v>
      </c>
      <c r="B27" s="119" t="s">
        <v>137</v>
      </c>
      <c r="C27" s="118">
        <v>5</v>
      </c>
      <c r="D27" s="120">
        <v>55990000</v>
      </c>
    </row>
    <row r="28" spans="1:6" x14ac:dyDescent="0.25">
      <c r="A28" s="118">
        <v>24</v>
      </c>
      <c r="B28" s="119" t="s">
        <v>138</v>
      </c>
      <c r="C28" s="118">
        <v>6</v>
      </c>
      <c r="D28" s="120">
        <v>1007616</v>
      </c>
    </row>
    <row r="29" spans="1:6" x14ac:dyDescent="0.25">
      <c r="A29" s="118">
        <v>25</v>
      </c>
      <c r="B29" s="119" t="s">
        <v>139</v>
      </c>
      <c r="C29" s="118">
        <v>6</v>
      </c>
      <c r="D29" s="120">
        <v>360000</v>
      </c>
    </row>
    <row r="30" spans="1:6" x14ac:dyDescent="0.25">
      <c r="A30" s="118">
        <v>26</v>
      </c>
      <c r="B30" s="119" t="s">
        <v>140</v>
      </c>
      <c r="C30" s="118">
        <v>6</v>
      </c>
      <c r="D30" s="120">
        <v>2159000</v>
      </c>
    </row>
    <row r="31" spans="1:6" x14ac:dyDescent="0.25">
      <c r="A31" s="118">
        <v>27</v>
      </c>
      <c r="B31" s="119" t="s">
        <v>141</v>
      </c>
      <c r="C31" s="118">
        <v>7.13</v>
      </c>
      <c r="D31" s="120">
        <v>10916910</v>
      </c>
      <c r="E31" s="107"/>
    </row>
    <row r="32" spans="1:6" x14ac:dyDescent="0.25">
      <c r="A32" s="118">
        <v>28</v>
      </c>
      <c r="B32" s="119" t="s">
        <v>142</v>
      </c>
      <c r="C32" s="118">
        <v>7</v>
      </c>
      <c r="D32" s="120">
        <v>2121000</v>
      </c>
    </row>
    <row r="33" spans="1:5" x14ac:dyDescent="0.25">
      <c r="A33" s="118">
        <v>29</v>
      </c>
      <c r="B33" s="119" t="s">
        <v>143</v>
      </c>
      <c r="C33" s="118" t="s">
        <v>168</v>
      </c>
      <c r="D33" s="123">
        <v>34013058</v>
      </c>
      <c r="E33" s="107"/>
    </row>
    <row r="34" spans="1:5" x14ac:dyDescent="0.25">
      <c r="A34" s="118">
        <v>30</v>
      </c>
      <c r="B34" s="119" t="s">
        <v>144</v>
      </c>
      <c r="C34" s="118" t="s">
        <v>169</v>
      </c>
      <c r="D34" s="120">
        <v>38807898</v>
      </c>
      <c r="E34" s="107"/>
    </row>
    <row r="35" spans="1:5" x14ac:dyDescent="0.25">
      <c r="A35" s="118">
        <v>31</v>
      </c>
      <c r="B35" s="119" t="s">
        <v>145</v>
      </c>
      <c r="C35" s="118">
        <v>8.14</v>
      </c>
      <c r="D35" s="120">
        <f>287000+3690000</f>
        <v>3977000</v>
      </c>
    </row>
    <row r="36" spans="1:5" x14ac:dyDescent="0.25">
      <c r="A36" s="118">
        <v>32</v>
      </c>
      <c r="B36" s="119" t="s">
        <v>146</v>
      </c>
      <c r="C36" s="118">
        <v>12</v>
      </c>
      <c r="D36" s="120">
        <v>17500</v>
      </c>
    </row>
    <row r="37" spans="1:5" x14ac:dyDescent="0.25">
      <c r="A37" s="118">
        <v>33</v>
      </c>
      <c r="B37" s="119" t="s">
        <v>147</v>
      </c>
      <c r="C37" s="118">
        <v>13</v>
      </c>
      <c r="D37" s="120">
        <v>8626250</v>
      </c>
    </row>
    <row r="38" spans="1:5" ht="27.75" customHeight="1" x14ac:dyDescent="0.25">
      <c r="A38" s="147" t="s">
        <v>171</v>
      </c>
      <c r="B38" s="148"/>
      <c r="C38" s="149"/>
      <c r="D38" s="120"/>
    </row>
    <row r="39" spans="1:5" ht="30" x14ac:dyDescent="0.25">
      <c r="A39" s="118">
        <v>1</v>
      </c>
      <c r="B39" s="121" t="s">
        <v>172</v>
      </c>
      <c r="C39" s="118"/>
      <c r="D39" s="120">
        <v>4032000</v>
      </c>
    </row>
    <row r="40" spans="1:5" ht="30" x14ac:dyDescent="0.25">
      <c r="A40" s="118">
        <v>2</v>
      </c>
      <c r="B40" s="121" t="s">
        <v>173</v>
      </c>
      <c r="C40" s="118"/>
      <c r="D40" s="120">
        <v>1808800</v>
      </c>
    </row>
    <row r="41" spans="1:5" ht="30" x14ac:dyDescent="0.25">
      <c r="A41" s="118">
        <v>3</v>
      </c>
      <c r="B41" s="121" t="s">
        <v>174</v>
      </c>
      <c r="C41" s="118"/>
      <c r="D41" s="120">
        <v>550000</v>
      </c>
    </row>
    <row r="42" spans="1:5" ht="30" x14ac:dyDescent="0.25">
      <c r="A42" s="118">
        <v>4</v>
      </c>
      <c r="B42" s="121" t="s">
        <v>175</v>
      </c>
      <c r="C42" s="118"/>
      <c r="D42" s="120">
        <v>1008000</v>
      </c>
    </row>
    <row r="43" spans="1:5" ht="38.25" customHeight="1" x14ac:dyDescent="0.3">
      <c r="A43" s="77"/>
      <c r="B43" s="124" t="s">
        <v>148</v>
      </c>
      <c r="C43" s="124"/>
      <c r="D43" s="124">
        <f>SUM(D2:D42)</f>
        <v>722297884.74000001</v>
      </c>
    </row>
    <row r="46" spans="1:5" x14ac:dyDescent="0.25">
      <c r="B46" t="s">
        <v>176</v>
      </c>
      <c r="D46">
        <f>E2+E3+E4</f>
        <v>379125424.24000001</v>
      </c>
    </row>
    <row r="48" spans="1:5" x14ac:dyDescent="0.25">
      <c r="B48" t="s">
        <v>170</v>
      </c>
      <c r="D48">
        <v>335773660.5</v>
      </c>
    </row>
    <row r="50" spans="2:4" x14ac:dyDescent="0.25">
      <c r="B50" t="s">
        <v>177</v>
      </c>
      <c r="D50" s="107">
        <f>D39+D40+D41+D42</f>
        <v>7398800</v>
      </c>
    </row>
    <row r="52" spans="2:4" ht="15.75" x14ac:dyDescent="0.25">
      <c r="B52" s="150" t="s">
        <v>178</v>
      </c>
      <c r="C52" s="150"/>
      <c r="D52" s="151">
        <f>D46+D48+D50</f>
        <v>722297884.74000001</v>
      </c>
    </row>
  </sheetData>
  <mergeCells count="2">
    <mergeCell ref="A5:C5"/>
    <mergeCell ref="A38:C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№2</vt:lpstr>
      <vt:lpstr>Доход-2022</vt:lpstr>
      <vt:lpstr>Зарплата-2022</vt:lpstr>
      <vt:lpstr>141 спец</vt:lpstr>
      <vt:lpstr>спец-142</vt:lpstr>
      <vt:lpstr>договора медикаментов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2022-09-16T11:02:57Z</dcterms:modified>
</cp:coreProperties>
</file>